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NUL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PEREZR\Desktop\PLAN ACCION 2022\GRUES - I TRIMESTRE\GRUES\P47 REVISTA\A. 619\"/>
    </mc:Choice>
  </mc:AlternateContent>
  <bookViews>
    <workbookView xWindow="0" yWindow="0" windowWidth="13050" windowHeight="11850" tabRatio="598" firstSheet="5" activeTab="9"/>
  </bookViews>
  <sheets>
    <sheet name="ERON 2021" sheetId="69" r:id="rId1"/>
    <sheet name="DINAMICA ERON" sheetId="70" r:id="rId2"/>
    <sheet name="PARTE DIC2021" sheetId="51" r:id="rId3"/>
    <sheet name="TABLA POBLACION" sheetId="1" r:id="rId4"/>
    <sheet name="TABLA TASAS" sheetId="72" r:id="rId5"/>
    <sheet name="TABLA CLASIFICACION" sheetId="35" r:id="rId6"/>
    <sheet name="TABLA ERON GENERACION" sheetId="14" r:id="rId7"/>
    <sheet name="TABLA INFRAESTRUCTURA REGION" sheetId="27" r:id="rId8"/>
    <sheet name="TABLA UBICACION ERON" sheetId="42" r:id="rId9"/>
    <sheet name="TABLA CUPOS" sheetId="65" r:id="rId10"/>
    <sheet name="Hoja3" sheetId="55" state="hidden" r:id="rId11"/>
    <sheet name="TABLA CAPACIDAD" sheetId="34" r:id="rId12"/>
    <sheet name="TABLA HACINAMIENTO" sheetId="8" r:id="rId13"/>
    <sheet name="TABLA SEXO" sheetId="66" r:id="rId14"/>
    <sheet name="TABLA JURIDICA" sheetId="12" r:id="rId15"/>
    <sheet name="TABLA EDAD " sheetId="16" r:id="rId16"/>
    <sheet name="TABLA  ESCOLARIDAD" sheetId="15" r:id="rId17"/>
    <sheet name="SERVIDORES PUBLICOS" sheetId="75" r:id="rId18"/>
    <sheet name="ENFOQUE DIFERENCIAL" sheetId="13" r:id="rId19"/>
    <sheet name="TABLA DELITOS ERON" sheetId="58" r:id="rId20"/>
    <sheet name="TABLAREGIONALES " sheetId="31" r:id="rId21"/>
    <sheet name="extranjeros pais" sheetId="73" r:id="rId22"/>
    <sheet name="TABLAS TRATAMIENTO" sheetId="60" r:id="rId23"/>
    <sheet name="TABLA DOMICILIARIA" sheetId="21" r:id="rId24"/>
    <sheet name="TABLA VIGIL ELECTRONICA" sheetId="28" r:id="rId25"/>
    <sheet name="TABLA REINCIDENCIA" sheetId="23" r:id="rId26"/>
    <sheet name="TABLA  SUBROGADOS" sheetId="67" r:id="rId27"/>
    <sheet name="PRESUPUESTO" sheetId="71" r:id="rId28"/>
    <sheet name="DECRETO 546" sheetId="74" r:id="rId29"/>
    <sheet name="DD.HH" sheetId="76" r:id="rId30"/>
    <sheet name="DICUV" sheetId="77" r:id="rId31"/>
  </sheets>
  <externalReferences>
    <externalReference r:id="rId32"/>
    <externalReference r:id="rId33"/>
  </externalReferences>
  <definedNames>
    <definedName name="_ftn1" localSheetId="3">'TABLA POBLACION'!#REF!</definedName>
    <definedName name="_ftnref1" localSheetId="3">'TABLA POBLACION'!#REF!</definedName>
    <definedName name="_Toc11662287" localSheetId="18">'ENFOQUE DIFERENCIAL'!#REF!</definedName>
    <definedName name="_Toc15468336" localSheetId="9">'TABLA CUPOS'!$A$3</definedName>
    <definedName name="_Toc362027214" localSheetId="15">'TABLA EDAD '!#REF!</definedName>
    <definedName name="_Toc413680536" localSheetId="12">'TABLA HACINAMIENTO'!$A$9</definedName>
    <definedName name="_Toc413680542" localSheetId="14">'TABLA JURIDICA'!#REF!</definedName>
    <definedName name="_Toc413680544" localSheetId="16">'TABLA  ESCOLARIDAD'!#REF!</definedName>
  </definedNames>
  <calcPr calcId="162913"/>
  <pivotCaches>
    <pivotCache cacheId="0" r:id="rId3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2" i="60" l="1"/>
  <c r="G72" i="60"/>
  <c r="H72" i="60"/>
  <c r="F72" i="60"/>
  <c r="I71" i="60"/>
  <c r="H71" i="60"/>
  <c r="G71" i="60"/>
  <c r="I70" i="60"/>
  <c r="H70" i="60"/>
  <c r="G70" i="60"/>
  <c r="F70" i="60"/>
  <c r="F71" i="60"/>
  <c r="I69" i="60"/>
  <c r="H69" i="60"/>
  <c r="G69" i="60"/>
  <c r="F69" i="60"/>
  <c r="I68" i="60"/>
  <c r="H68" i="60"/>
  <c r="G68" i="60"/>
  <c r="F68" i="60"/>
  <c r="H67" i="60"/>
  <c r="G67" i="60"/>
  <c r="F67" i="60"/>
  <c r="H66" i="60"/>
  <c r="G66" i="60"/>
  <c r="F66" i="60"/>
  <c r="I65" i="60"/>
  <c r="H65" i="60"/>
  <c r="G65" i="60"/>
  <c r="F65" i="60"/>
  <c r="I64" i="60"/>
  <c r="H64" i="60"/>
  <c r="G64" i="60"/>
  <c r="F64" i="60"/>
  <c r="I63" i="60"/>
  <c r="H63" i="60"/>
  <c r="G63" i="60"/>
  <c r="F63" i="60"/>
  <c r="K61" i="60"/>
  <c r="I62" i="60"/>
  <c r="H62" i="60"/>
  <c r="G62" i="60"/>
  <c r="F62" i="60"/>
  <c r="D62" i="60"/>
  <c r="D63" i="60"/>
  <c r="D61" i="60"/>
  <c r="J61" i="60"/>
  <c r="D72" i="60"/>
  <c r="D71" i="60"/>
  <c r="D70" i="60"/>
  <c r="D69" i="60"/>
  <c r="D68" i="60"/>
  <c r="D67" i="60"/>
  <c r="D66" i="60"/>
  <c r="D65" i="60"/>
  <c r="D64" i="60"/>
  <c r="O73" i="60"/>
  <c r="H73" i="60" l="1"/>
  <c r="I73" i="60"/>
  <c r="G73" i="60"/>
  <c r="F73" i="60"/>
  <c r="D73" i="60"/>
  <c r="N61" i="60"/>
  <c r="O61" i="60" s="1"/>
  <c r="I25" i="71"/>
  <c r="J23" i="67"/>
  <c r="G23" i="67"/>
  <c r="D23" i="67"/>
  <c r="E33" i="1"/>
  <c r="F33" i="1"/>
  <c r="D33" i="1"/>
  <c r="D66" i="77" l="1"/>
  <c r="E65" i="77" s="1"/>
  <c r="D65" i="77"/>
  <c r="D41" i="77"/>
  <c r="F41" i="77"/>
  <c r="B41" i="77"/>
  <c r="D32" i="77"/>
  <c r="D28" i="77"/>
  <c r="D29" i="77"/>
  <c r="D30" i="77"/>
  <c r="D31" i="77"/>
  <c r="D27" i="77"/>
  <c r="H23" i="77"/>
  <c r="G23" i="77"/>
  <c r="C23" i="77"/>
  <c r="B23" i="77"/>
  <c r="I22" i="77"/>
  <c r="I21" i="77"/>
  <c r="I20" i="77"/>
  <c r="I19" i="77"/>
  <c r="I18" i="77"/>
  <c r="D21" i="77"/>
  <c r="D18" i="77"/>
  <c r="D22" i="77"/>
  <c r="D20" i="77"/>
  <c r="D19" i="77"/>
  <c r="D9" i="77"/>
  <c r="D7" i="77"/>
  <c r="D8" i="77"/>
  <c r="D10" i="77"/>
  <c r="D11" i="77"/>
  <c r="D12" i="77"/>
  <c r="D13" i="77"/>
  <c r="C19" i="76"/>
  <c r="D19" i="76"/>
  <c r="E19" i="76"/>
  <c r="F19" i="76"/>
  <c r="G19" i="76"/>
  <c r="H19" i="76"/>
  <c r="B19" i="76"/>
  <c r="D5" i="76"/>
  <c r="D6" i="76"/>
  <c r="D7" i="76"/>
  <c r="D4" i="76"/>
  <c r="C56" i="23"/>
  <c r="B56" i="23"/>
  <c r="H43" i="23"/>
  <c r="D54" i="23"/>
  <c r="M49" i="23"/>
  <c r="M50" i="23"/>
  <c r="M51" i="23"/>
  <c r="M52" i="23"/>
  <c r="J49" i="23"/>
  <c r="J50" i="23"/>
  <c r="J51" i="23"/>
  <c r="J52" i="23"/>
  <c r="J48" i="23"/>
  <c r="G49" i="23"/>
  <c r="G50" i="23"/>
  <c r="G51" i="23"/>
  <c r="G52" i="23"/>
  <c r="D51" i="23"/>
  <c r="D52" i="23"/>
  <c r="C54" i="23"/>
  <c r="B54" i="23"/>
  <c r="K50" i="23"/>
  <c r="K51" i="23"/>
  <c r="K52" i="23"/>
  <c r="I23" i="77" l="1"/>
  <c r="D23" i="77"/>
  <c r="C43" i="23"/>
  <c r="C41" i="23"/>
  <c r="D41" i="23"/>
  <c r="E41" i="23"/>
  <c r="F41" i="23"/>
  <c r="G41" i="23"/>
  <c r="H41" i="23"/>
  <c r="B41" i="23"/>
  <c r="L41" i="23" s="1"/>
  <c r="D37" i="28"/>
  <c r="B37" i="28"/>
  <c r="H37" i="28"/>
  <c r="F37" i="28"/>
  <c r="J37" i="21"/>
  <c r="B37" i="21"/>
  <c r="B25" i="23"/>
  <c r="B20" i="23"/>
  <c r="G30" i="23" l="1"/>
  <c r="H29" i="23"/>
  <c r="B73" i="23" l="1"/>
  <c r="B61" i="23"/>
  <c r="B62" i="23"/>
  <c r="B63" i="23"/>
  <c r="B64" i="23"/>
  <c r="B65" i="23"/>
  <c r="B66" i="23"/>
  <c r="B67" i="23"/>
  <c r="B68" i="23"/>
  <c r="B69" i="23"/>
  <c r="B70" i="23"/>
  <c r="B71" i="23"/>
  <c r="B72" i="23"/>
  <c r="S6" i="23"/>
  <c r="N27" i="21" l="1"/>
  <c r="J35" i="28" l="1"/>
  <c r="J36" i="28" s="1"/>
  <c r="J37" i="28" s="1"/>
  <c r="J34" i="28"/>
  <c r="L34" i="28" s="1"/>
  <c r="L35" i="21"/>
  <c r="L34" i="21"/>
  <c r="K34" i="21"/>
  <c r="J35" i="21"/>
  <c r="J34" i="21"/>
  <c r="L35" i="28" l="1"/>
  <c r="K34" i="28"/>
  <c r="K35" i="28"/>
  <c r="K36" i="28" l="1"/>
  <c r="N26" i="21" l="1"/>
  <c r="I35" i="21"/>
  <c r="I34" i="21"/>
  <c r="G35" i="21"/>
  <c r="G34" i="21"/>
  <c r="E35" i="21"/>
  <c r="E34" i="21"/>
  <c r="C35" i="21"/>
  <c r="C34" i="21"/>
  <c r="E7" i="21" l="1"/>
  <c r="I7" i="21"/>
  <c r="L36" i="21" l="1"/>
  <c r="M34" i="21" s="1"/>
  <c r="J36" i="21"/>
  <c r="H36" i="21"/>
  <c r="F36" i="21"/>
  <c r="D36" i="21"/>
  <c r="B36" i="21"/>
  <c r="F55" i="60"/>
  <c r="E55" i="60"/>
  <c r="D55" i="60"/>
  <c r="C55" i="60"/>
  <c r="F54" i="60"/>
  <c r="E54" i="60"/>
  <c r="D54" i="60"/>
  <c r="C54" i="60"/>
  <c r="B55" i="60"/>
  <c r="B54" i="60"/>
  <c r="B62" i="60"/>
  <c r="B63" i="60"/>
  <c r="B64" i="60"/>
  <c r="B65" i="60"/>
  <c r="B66" i="60"/>
  <c r="B67" i="60"/>
  <c r="B68" i="60"/>
  <c r="B69" i="60"/>
  <c r="B70" i="60"/>
  <c r="B71" i="60"/>
  <c r="B72" i="60"/>
  <c r="B61" i="60"/>
  <c r="C36" i="60"/>
  <c r="D36" i="60"/>
  <c r="E36" i="60"/>
  <c r="F36" i="60"/>
  <c r="G36" i="60"/>
  <c r="H36" i="60"/>
  <c r="I36" i="60"/>
  <c r="J36" i="60"/>
  <c r="K36" i="60"/>
  <c r="L36" i="60"/>
  <c r="M36" i="60"/>
  <c r="B36" i="60"/>
  <c r="C16" i="60"/>
  <c r="D16" i="60"/>
  <c r="E16" i="60"/>
  <c r="F16" i="60"/>
  <c r="G16" i="60"/>
  <c r="B16" i="60"/>
  <c r="K36" i="21" l="1"/>
  <c r="K35" i="21"/>
  <c r="I48" i="60"/>
  <c r="H48" i="60"/>
  <c r="F48" i="60"/>
  <c r="E48" i="60"/>
  <c r="C48" i="60"/>
  <c r="B48" i="60"/>
  <c r="L61" i="60" l="1"/>
  <c r="N25" i="60"/>
  <c r="N26" i="60"/>
  <c r="N27" i="60"/>
  <c r="N28" i="60"/>
  <c r="N29" i="60"/>
  <c r="N30" i="60"/>
  <c r="N31" i="60"/>
  <c r="N32" i="60"/>
  <c r="N33" i="60"/>
  <c r="N34" i="60"/>
  <c r="N35" i="60"/>
  <c r="N48" i="60" s="1"/>
  <c r="N24" i="60"/>
  <c r="L47" i="60"/>
  <c r="M47" i="60" s="1"/>
  <c r="O47" i="60" s="1"/>
  <c r="K47" i="60"/>
  <c r="J47" i="60"/>
  <c r="G47" i="60"/>
  <c r="D47" i="60"/>
  <c r="E261" i="31"/>
  <c r="F261" i="31"/>
  <c r="G261" i="31"/>
  <c r="H261" i="31"/>
  <c r="I261" i="31"/>
  <c r="J261" i="31"/>
  <c r="K261" i="31"/>
  <c r="L261" i="31"/>
  <c r="M261" i="31"/>
  <c r="N261" i="31"/>
  <c r="O261" i="31"/>
  <c r="D261" i="31"/>
  <c r="E260" i="31"/>
  <c r="F260" i="31"/>
  <c r="G260" i="31"/>
  <c r="H260" i="31"/>
  <c r="I260" i="31"/>
  <c r="J260" i="31"/>
  <c r="K260" i="31"/>
  <c r="L260" i="31"/>
  <c r="M260" i="31"/>
  <c r="N260" i="31"/>
  <c r="O260" i="31"/>
  <c r="D260" i="31"/>
  <c r="E202" i="31" l="1"/>
  <c r="F202" i="31"/>
  <c r="G202" i="31"/>
  <c r="H202" i="31"/>
  <c r="I202" i="31"/>
  <c r="J202" i="31"/>
  <c r="K202" i="31"/>
  <c r="L202" i="31"/>
  <c r="M202" i="31"/>
  <c r="N202" i="31"/>
  <c r="E203" i="31"/>
  <c r="F203" i="31"/>
  <c r="G203" i="31"/>
  <c r="H203" i="31"/>
  <c r="I203" i="31"/>
  <c r="J203" i="31"/>
  <c r="K203" i="31"/>
  <c r="L203" i="31"/>
  <c r="M203" i="31"/>
  <c r="N203" i="31"/>
  <c r="E204" i="31"/>
  <c r="F204" i="31"/>
  <c r="G204" i="31"/>
  <c r="H204" i="31"/>
  <c r="I204" i="31"/>
  <c r="J204" i="31"/>
  <c r="K204" i="31"/>
  <c r="L204" i="31"/>
  <c r="M204" i="31"/>
  <c r="N204" i="31"/>
  <c r="E205" i="31"/>
  <c r="F205" i="31"/>
  <c r="G205" i="31"/>
  <c r="H205" i="31"/>
  <c r="I205" i="31"/>
  <c r="J205" i="31"/>
  <c r="K205" i="31"/>
  <c r="L205" i="31"/>
  <c r="M205" i="31"/>
  <c r="N205" i="31"/>
  <c r="E206" i="31"/>
  <c r="F206" i="31"/>
  <c r="G206" i="31"/>
  <c r="H206" i="31"/>
  <c r="I206" i="31"/>
  <c r="J206" i="31"/>
  <c r="K206" i="31"/>
  <c r="L206" i="31"/>
  <c r="M206" i="31"/>
  <c r="N206" i="31"/>
  <c r="E207" i="31"/>
  <c r="F207" i="31"/>
  <c r="G207" i="31"/>
  <c r="H207" i="31"/>
  <c r="I207" i="31"/>
  <c r="J207" i="31"/>
  <c r="K207" i="31"/>
  <c r="L207" i="31"/>
  <c r="M207" i="31"/>
  <c r="N207" i="31"/>
  <c r="E208" i="31"/>
  <c r="F208" i="31"/>
  <c r="G208" i="31"/>
  <c r="H208" i="31"/>
  <c r="I208" i="31"/>
  <c r="J208" i="31"/>
  <c r="K208" i="31"/>
  <c r="L208" i="31"/>
  <c r="M208" i="31"/>
  <c r="N208" i="31"/>
  <c r="E209" i="31"/>
  <c r="F209" i="31"/>
  <c r="G209" i="31"/>
  <c r="H209" i="31"/>
  <c r="I209" i="31"/>
  <c r="J209" i="31"/>
  <c r="K209" i="31"/>
  <c r="L209" i="31"/>
  <c r="M209" i="31"/>
  <c r="N209" i="31"/>
  <c r="E210" i="31"/>
  <c r="F210" i="31"/>
  <c r="G210" i="31"/>
  <c r="H210" i="31"/>
  <c r="I210" i="31"/>
  <c r="J210" i="31"/>
  <c r="K210" i="31"/>
  <c r="L210" i="31"/>
  <c r="M210" i="31"/>
  <c r="N210" i="31"/>
  <c r="E211" i="31"/>
  <c r="F211" i="31"/>
  <c r="G211" i="31"/>
  <c r="H211" i="31"/>
  <c r="I211" i="31"/>
  <c r="J211" i="31"/>
  <c r="K211" i="31"/>
  <c r="L211" i="31"/>
  <c r="M211" i="31"/>
  <c r="N211" i="31"/>
  <c r="E212" i="31"/>
  <c r="F212" i="31"/>
  <c r="G212" i="31"/>
  <c r="H212" i="31"/>
  <c r="I212" i="31"/>
  <c r="J212" i="31"/>
  <c r="K212" i="31"/>
  <c r="L212" i="31"/>
  <c r="M212" i="31"/>
  <c r="N212" i="31"/>
  <c r="E213" i="31"/>
  <c r="F213" i="31"/>
  <c r="G213" i="31"/>
  <c r="H213" i="31"/>
  <c r="I213" i="31"/>
  <c r="J213" i="31"/>
  <c r="K213" i="31"/>
  <c r="L213" i="31"/>
  <c r="M213" i="31"/>
  <c r="N213" i="31"/>
  <c r="E214" i="31"/>
  <c r="F214" i="31"/>
  <c r="G214" i="31"/>
  <c r="H214" i="31"/>
  <c r="I214" i="31"/>
  <c r="J214" i="31"/>
  <c r="K214" i="31"/>
  <c r="L214" i="31"/>
  <c r="M214" i="31"/>
  <c r="N214" i="31"/>
  <c r="E215" i="31"/>
  <c r="F215" i="31"/>
  <c r="G215" i="31"/>
  <c r="H215" i="31"/>
  <c r="I215" i="31"/>
  <c r="J215" i="31"/>
  <c r="K215" i="31"/>
  <c r="L215" i="31"/>
  <c r="M215" i="31"/>
  <c r="N215" i="31"/>
  <c r="E216" i="31"/>
  <c r="F216" i="31"/>
  <c r="G216" i="31"/>
  <c r="H216" i="31"/>
  <c r="I216" i="31"/>
  <c r="J216" i="31"/>
  <c r="K216" i="31"/>
  <c r="L216" i="31"/>
  <c r="M216" i="31"/>
  <c r="N216" i="31"/>
  <c r="E217" i="31"/>
  <c r="F217" i="31"/>
  <c r="G217" i="31"/>
  <c r="H217" i="31"/>
  <c r="I217" i="31"/>
  <c r="J217" i="31"/>
  <c r="K217" i="31"/>
  <c r="L217" i="31"/>
  <c r="M217" i="31"/>
  <c r="N217" i="31"/>
  <c r="E218" i="31"/>
  <c r="F218" i="31"/>
  <c r="G218" i="31"/>
  <c r="H218" i="31"/>
  <c r="I218" i="31"/>
  <c r="J218" i="31"/>
  <c r="K218" i="31"/>
  <c r="L218" i="31"/>
  <c r="M218" i="31"/>
  <c r="N218" i="31"/>
  <c r="E219" i="31"/>
  <c r="F219" i="31"/>
  <c r="G219" i="31"/>
  <c r="H219" i="31"/>
  <c r="I219" i="31"/>
  <c r="J219" i="31"/>
  <c r="K219" i="31"/>
  <c r="L219" i="31"/>
  <c r="M219" i="31"/>
  <c r="N219" i="31"/>
  <c r="E220" i="31"/>
  <c r="F220" i="31"/>
  <c r="G220" i="31"/>
  <c r="H220" i="31"/>
  <c r="I220" i="31"/>
  <c r="J220" i="31"/>
  <c r="K220" i="31"/>
  <c r="L220" i="31"/>
  <c r="M220" i="31"/>
  <c r="N220" i="31"/>
  <c r="E221" i="31"/>
  <c r="F221" i="31"/>
  <c r="G221" i="31"/>
  <c r="H221" i="31"/>
  <c r="I221" i="31"/>
  <c r="J221" i="31"/>
  <c r="K221" i="31"/>
  <c r="L221" i="31"/>
  <c r="M221" i="31"/>
  <c r="N221" i="31"/>
  <c r="E222" i="31"/>
  <c r="F222" i="31"/>
  <c r="G222" i="31"/>
  <c r="H222" i="31"/>
  <c r="I222" i="31"/>
  <c r="J222" i="31"/>
  <c r="K222" i="31"/>
  <c r="L222" i="31"/>
  <c r="M222" i="31"/>
  <c r="N222" i="31"/>
  <c r="D203" i="31"/>
  <c r="D204" i="31"/>
  <c r="D205" i="31"/>
  <c r="D206" i="31"/>
  <c r="D207" i="31"/>
  <c r="D208" i="31"/>
  <c r="D209" i="31"/>
  <c r="D210" i="31"/>
  <c r="D211" i="31"/>
  <c r="D212" i="31"/>
  <c r="D213" i="31"/>
  <c r="D214" i="31"/>
  <c r="D215" i="31"/>
  <c r="D216" i="31"/>
  <c r="D217" i="31"/>
  <c r="D218" i="31"/>
  <c r="D219" i="31"/>
  <c r="D220" i="31"/>
  <c r="D221" i="31"/>
  <c r="D222" i="31"/>
  <c r="D202" i="31"/>
  <c r="E172" i="31"/>
  <c r="F172" i="31"/>
  <c r="G172" i="31"/>
  <c r="H172" i="31"/>
  <c r="I172" i="31"/>
  <c r="J172" i="31"/>
  <c r="K172" i="31"/>
  <c r="L172" i="31"/>
  <c r="M172" i="31"/>
  <c r="E173" i="31"/>
  <c r="F173" i="31"/>
  <c r="G173" i="31"/>
  <c r="H173" i="31"/>
  <c r="I173" i="31"/>
  <c r="J173" i="31"/>
  <c r="K173" i="31"/>
  <c r="L173" i="31"/>
  <c r="M173" i="31"/>
  <c r="E174" i="31"/>
  <c r="F174" i="31"/>
  <c r="G174" i="31"/>
  <c r="H174" i="31"/>
  <c r="I174" i="31"/>
  <c r="J174" i="31"/>
  <c r="K174" i="31"/>
  <c r="L174" i="31"/>
  <c r="M174" i="31"/>
  <c r="E175" i="31"/>
  <c r="F175" i="31"/>
  <c r="G175" i="31"/>
  <c r="H175" i="31"/>
  <c r="I175" i="31"/>
  <c r="J175" i="31"/>
  <c r="K175" i="31"/>
  <c r="L175" i="31"/>
  <c r="M175" i="31"/>
  <c r="E176" i="31"/>
  <c r="F176" i="31"/>
  <c r="G176" i="31"/>
  <c r="H176" i="31"/>
  <c r="I176" i="31"/>
  <c r="J176" i="31"/>
  <c r="K176" i="31"/>
  <c r="L176" i="31"/>
  <c r="M176" i="31"/>
  <c r="E177" i="31"/>
  <c r="F177" i="31"/>
  <c r="G177" i="31"/>
  <c r="H177" i="31"/>
  <c r="I177" i="31"/>
  <c r="J177" i="31"/>
  <c r="K177" i="31"/>
  <c r="L177" i="31"/>
  <c r="M177" i="31"/>
  <c r="E178" i="31"/>
  <c r="F178" i="31"/>
  <c r="G178" i="31"/>
  <c r="H178" i="31"/>
  <c r="I178" i="31"/>
  <c r="J178" i="31"/>
  <c r="K178" i="31"/>
  <c r="L178" i="31"/>
  <c r="M178" i="31"/>
  <c r="E179" i="31"/>
  <c r="F179" i="31"/>
  <c r="G179" i="31"/>
  <c r="H179" i="31"/>
  <c r="I179" i="31"/>
  <c r="J179" i="31"/>
  <c r="K179" i="31"/>
  <c r="L179" i="31"/>
  <c r="M179" i="31"/>
  <c r="E180" i="31"/>
  <c r="F180" i="31"/>
  <c r="G180" i="31"/>
  <c r="H180" i="31"/>
  <c r="I180" i="31"/>
  <c r="J180" i="31"/>
  <c r="K180" i="31"/>
  <c r="L180" i="31"/>
  <c r="M180" i="31"/>
  <c r="E181" i="31"/>
  <c r="F181" i="31"/>
  <c r="G181" i="31"/>
  <c r="H181" i="31"/>
  <c r="I181" i="31"/>
  <c r="J181" i="31"/>
  <c r="K181" i="31"/>
  <c r="L181" i="31"/>
  <c r="M181" i="31"/>
  <c r="E182" i="31"/>
  <c r="F182" i="31"/>
  <c r="G182" i="31"/>
  <c r="H182" i="31"/>
  <c r="I182" i="31"/>
  <c r="J182" i="31"/>
  <c r="K182" i="31"/>
  <c r="L182" i="31"/>
  <c r="M182" i="31"/>
  <c r="E183" i="31"/>
  <c r="F183" i="31"/>
  <c r="G183" i="31"/>
  <c r="H183" i="31"/>
  <c r="I183" i="31"/>
  <c r="J183" i="31"/>
  <c r="K183" i="31"/>
  <c r="L183" i="31"/>
  <c r="M183" i="31"/>
  <c r="E184" i="31"/>
  <c r="F184" i="31"/>
  <c r="G184" i="31"/>
  <c r="H184" i="31"/>
  <c r="I184" i="31"/>
  <c r="J184" i="31"/>
  <c r="K184" i="31"/>
  <c r="L184" i="31"/>
  <c r="M184" i="31"/>
  <c r="E185" i="31"/>
  <c r="F185" i="31"/>
  <c r="G185" i="31"/>
  <c r="H185" i="31"/>
  <c r="I185" i="31"/>
  <c r="J185" i="31"/>
  <c r="K185" i="31"/>
  <c r="L185" i="31"/>
  <c r="M185" i="31"/>
  <c r="E186" i="31"/>
  <c r="F186" i="31"/>
  <c r="G186" i="31"/>
  <c r="H186" i="31"/>
  <c r="I186" i="31"/>
  <c r="J186" i="31"/>
  <c r="K186" i="31"/>
  <c r="L186" i="31"/>
  <c r="M186" i="31"/>
  <c r="E187" i="31"/>
  <c r="F187" i="31"/>
  <c r="G187" i="31"/>
  <c r="H187" i="31"/>
  <c r="I187" i="31"/>
  <c r="J187" i="31"/>
  <c r="K187" i="31"/>
  <c r="L187" i="31"/>
  <c r="M187" i="31"/>
  <c r="E188" i="31"/>
  <c r="F188" i="31"/>
  <c r="G188" i="31"/>
  <c r="H188" i="31"/>
  <c r="I188" i="31"/>
  <c r="J188" i="31"/>
  <c r="K188" i="31"/>
  <c r="L188" i="31"/>
  <c r="M188" i="31"/>
  <c r="E189" i="31"/>
  <c r="F189" i="31"/>
  <c r="G189" i="31"/>
  <c r="H189" i="31"/>
  <c r="I189" i="31"/>
  <c r="J189" i="31"/>
  <c r="K189" i="31"/>
  <c r="L189" i="31"/>
  <c r="M189" i="31"/>
  <c r="E190" i="31"/>
  <c r="F190" i="31"/>
  <c r="G190" i="31"/>
  <c r="H190" i="31"/>
  <c r="I190" i="31"/>
  <c r="J190" i="31"/>
  <c r="K190" i="31"/>
  <c r="L190" i="31"/>
  <c r="M190" i="31"/>
  <c r="D173" i="31"/>
  <c r="D174" i="31"/>
  <c r="D175" i="31"/>
  <c r="D176" i="31"/>
  <c r="D177" i="31"/>
  <c r="D178" i="31"/>
  <c r="D179" i="31"/>
  <c r="D180" i="31"/>
  <c r="D181" i="31"/>
  <c r="D182" i="31"/>
  <c r="D183" i="31"/>
  <c r="D184" i="31"/>
  <c r="D185" i="31"/>
  <c r="D186" i="31"/>
  <c r="D187" i="31"/>
  <c r="D188" i="31"/>
  <c r="D189" i="31"/>
  <c r="D190" i="31"/>
  <c r="D172" i="31"/>
  <c r="D160" i="31"/>
  <c r="E147" i="31"/>
  <c r="F147" i="31"/>
  <c r="G147" i="31"/>
  <c r="H147" i="31"/>
  <c r="I147" i="31"/>
  <c r="J147" i="31"/>
  <c r="K147" i="31"/>
  <c r="L147" i="31"/>
  <c r="M147" i="31"/>
  <c r="E148" i="31"/>
  <c r="F148" i="31"/>
  <c r="G148" i="31"/>
  <c r="H148" i="31"/>
  <c r="I148" i="31"/>
  <c r="J148" i="31"/>
  <c r="K148" i="31"/>
  <c r="L148" i="31"/>
  <c r="M148" i="31"/>
  <c r="E149" i="31"/>
  <c r="F149" i="31"/>
  <c r="G149" i="31"/>
  <c r="H149" i="31"/>
  <c r="I149" i="31"/>
  <c r="J149" i="31"/>
  <c r="K149" i="31"/>
  <c r="L149" i="31"/>
  <c r="M149" i="31"/>
  <c r="E150" i="31"/>
  <c r="F150" i="31"/>
  <c r="G150" i="31"/>
  <c r="H150" i="31"/>
  <c r="I150" i="31"/>
  <c r="J150" i="31"/>
  <c r="K150" i="31"/>
  <c r="L150" i="31"/>
  <c r="M150" i="31"/>
  <c r="E151" i="31"/>
  <c r="F151" i="31"/>
  <c r="G151" i="31"/>
  <c r="H151" i="31"/>
  <c r="I151" i="31"/>
  <c r="J151" i="31"/>
  <c r="K151" i="31"/>
  <c r="L151" i="31"/>
  <c r="M151" i="31"/>
  <c r="E152" i="31"/>
  <c r="F152" i="31"/>
  <c r="G152" i="31"/>
  <c r="H152" i="31"/>
  <c r="I152" i="31"/>
  <c r="J152" i="31"/>
  <c r="K152" i="31"/>
  <c r="L152" i="31"/>
  <c r="M152" i="31"/>
  <c r="E153" i="31"/>
  <c r="F153" i="31"/>
  <c r="G153" i="31"/>
  <c r="H153" i="31"/>
  <c r="I153" i="31"/>
  <c r="J153" i="31"/>
  <c r="K153" i="31"/>
  <c r="L153" i="31"/>
  <c r="M153" i="31"/>
  <c r="E154" i="31"/>
  <c r="F154" i="31"/>
  <c r="G154" i="31"/>
  <c r="H154" i="31"/>
  <c r="I154" i="31"/>
  <c r="J154" i="31"/>
  <c r="K154" i="31"/>
  <c r="L154" i="31"/>
  <c r="M154" i="31"/>
  <c r="E155" i="31"/>
  <c r="F155" i="31"/>
  <c r="G155" i="31"/>
  <c r="H155" i="31"/>
  <c r="I155" i="31"/>
  <c r="J155" i="31"/>
  <c r="K155" i="31"/>
  <c r="L155" i="31"/>
  <c r="M155" i="31"/>
  <c r="E156" i="31"/>
  <c r="F156" i="31"/>
  <c r="G156" i="31"/>
  <c r="H156" i="31"/>
  <c r="I156" i="31"/>
  <c r="J156" i="31"/>
  <c r="K156" i="31"/>
  <c r="L156" i="31"/>
  <c r="M156" i="31"/>
  <c r="E157" i="31"/>
  <c r="F157" i="31"/>
  <c r="G157" i="31"/>
  <c r="H157" i="31"/>
  <c r="I157" i="31"/>
  <c r="J157" i="31"/>
  <c r="K157" i="31"/>
  <c r="L157" i="31"/>
  <c r="M157" i="31"/>
  <c r="E158" i="31"/>
  <c r="F158" i="31"/>
  <c r="G158" i="31"/>
  <c r="H158" i="31"/>
  <c r="I158" i="31"/>
  <c r="J158" i="31"/>
  <c r="K158" i="31"/>
  <c r="L158" i="31"/>
  <c r="M158" i="31"/>
  <c r="E159" i="31"/>
  <c r="F159" i="31"/>
  <c r="G159" i="31"/>
  <c r="H159" i="31"/>
  <c r="I159" i="31"/>
  <c r="J159" i="31"/>
  <c r="K159" i="31"/>
  <c r="L159" i="31"/>
  <c r="M159" i="31"/>
  <c r="E160" i="31"/>
  <c r="F160" i="31"/>
  <c r="G160" i="31"/>
  <c r="H160" i="31"/>
  <c r="I160" i="31"/>
  <c r="J160" i="31"/>
  <c r="K160" i="31"/>
  <c r="L160" i="31"/>
  <c r="M160" i="31"/>
  <c r="D148" i="31"/>
  <c r="D149" i="31"/>
  <c r="D150" i="31"/>
  <c r="D151" i="31"/>
  <c r="D152" i="31"/>
  <c r="D153" i="31"/>
  <c r="D154" i="31"/>
  <c r="D155" i="31"/>
  <c r="D156" i="31"/>
  <c r="D157" i="31"/>
  <c r="D158" i="31"/>
  <c r="D159" i="31"/>
  <c r="D147" i="31"/>
  <c r="E123" i="31"/>
  <c r="F123" i="31"/>
  <c r="G123" i="31"/>
  <c r="H123" i="31"/>
  <c r="I123" i="31"/>
  <c r="J123" i="31"/>
  <c r="K123" i="31"/>
  <c r="L123" i="31"/>
  <c r="M123" i="31"/>
  <c r="E124" i="31"/>
  <c r="F124" i="31"/>
  <c r="G124" i="31"/>
  <c r="H124" i="31"/>
  <c r="I124" i="31"/>
  <c r="J124" i="31"/>
  <c r="K124" i="31"/>
  <c r="L124" i="31"/>
  <c r="M124" i="31"/>
  <c r="E125" i="31"/>
  <c r="F125" i="31"/>
  <c r="G125" i="31"/>
  <c r="H125" i="31"/>
  <c r="I125" i="31"/>
  <c r="J125" i="31"/>
  <c r="K125" i="31"/>
  <c r="L125" i="31"/>
  <c r="M125" i="31"/>
  <c r="E126" i="31"/>
  <c r="F126" i="31"/>
  <c r="G126" i="31"/>
  <c r="H126" i="31"/>
  <c r="I126" i="31"/>
  <c r="J126" i="31"/>
  <c r="K126" i="31"/>
  <c r="L126" i="31"/>
  <c r="M126" i="31"/>
  <c r="E127" i="31"/>
  <c r="F127" i="31"/>
  <c r="G127" i="31"/>
  <c r="H127" i="31"/>
  <c r="I127" i="31"/>
  <c r="J127" i="31"/>
  <c r="K127" i="31"/>
  <c r="L127" i="31"/>
  <c r="M127" i="31"/>
  <c r="E128" i="31"/>
  <c r="F128" i="31"/>
  <c r="G128" i="31"/>
  <c r="H128" i="31"/>
  <c r="I128" i="31"/>
  <c r="J128" i="31"/>
  <c r="K128" i="31"/>
  <c r="L128" i="31"/>
  <c r="M128" i="31"/>
  <c r="E129" i="31"/>
  <c r="F129" i="31"/>
  <c r="G129" i="31"/>
  <c r="H129" i="31"/>
  <c r="I129" i="31"/>
  <c r="J129" i="31"/>
  <c r="K129" i="31"/>
  <c r="L129" i="31"/>
  <c r="M129" i="31"/>
  <c r="E130" i="31"/>
  <c r="F130" i="31"/>
  <c r="G130" i="31"/>
  <c r="H130" i="31"/>
  <c r="I130" i="31"/>
  <c r="J130" i="31"/>
  <c r="K130" i="31"/>
  <c r="L130" i="31"/>
  <c r="M130" i="31"/>
  <c r="E131" i="31"/>
  <c r="F131" i="31"/>
  <c r="G131" i="31"/>
  <c r="H131" i="31"/>
  <c r="I131" i="31"/>
  <c r="J131" i="31"/>
  <c r="K131" i="31"/>
  <c r="L131" i="31"/>
  <c r="M131" i="31"/>
  <c r="E132" i="31"/>
  <c r="F132" i="31"/>
  <c r="G132" i="31"/>
  <c r="H132" i="31"/>
  <c r="I132" i="31"/>
  <c r="J132" i="31"/>
  <c r="K132" i="31"/>
  <c r="L132" i="31"/>
  <c r="M132" i="31"/>
  <c r="E133" i="31"/>
  <c r="F133" i="31"/>
  <c r="G133" i="31"/>
  <c r="H133" i="31"/>
  <c r="I133" i="31"/>
  <c r="J133" i="31"/>
  <c r="K133" i="31"/>
  <c r="L133" i="31"/>
  <c r="M133" i="31"/>
  <c r="E134" i="31"/>
  <c r="F134" i="31"/>
  <c r="G134" i="31"/>
  <c r="H134" i="31"/>
  <c r="I134" i="31"/>
  <c r="J134" i="31"/>
  <c r="K134" i="31"/>
  <c r="L134" i="31"/>
  <c r="M134" i="31"/>
  <c r="E135" i="31"/>
  <c r="F135" i="31"/>
  <c r="G135" i="31"/>
  <c r="H135" i="31"/>
  <c r="I135" i="31"/>
  <c r="J135" i="31"/>
  <c r="K135" i="31"/>
  <c r="L135" i="31"/>
  <c r="M135" i="31"/>
  <c r="E136" i="31"/>
  <c r="F136" i="31"/>
  <c r="G136" i="31"/>
  <c r="H136" i="31"/>
  <c r="I136" i="31"/>
  <c r="J136" i="31"/>
  <c r="K136" i="31"/>
  <c r="L136" i="31"/>
  <c r="M136" i="31"/>
  <c r="E137" i="31"/>
  <c r="F137" i="31"/>
  <c r="G137" i="31"/>
  <c r="H137" i="31"/>
  <c r="I137" i="31"/>
  <c r="J137" i="31"/>
  <c r="K137" i="31"/>
  <c r="L137" i="31"/>
  <c r="M137" i="31"/>
  <c r="D124" i="31"/>
  <c r="D125" i="31"/>
  <c r="D126" i="31"/>
  <c r="D127" i="31"/>
  <c r="D128" i="31"/>
  <c r="D129" i="31"/>
  <c r="D130" i="31"/>
  <c r="D131" i="31"/>
  <c r="D132" i="31"/>
  <c r="D133" i="31"/>
  <c r="D134" i="31"/>
  <c r="D135" i="31"/>
  <c r="D136" i="31"/>
  <c r="D137" i="31"/>
  <c r="D123" i="31"/>
  <c r="D91" i="31"/>
  <c r="E91" i="31"/>
  <c r="F91" i="31"/>
  <c r="G91" i="31"/>
  <c r="H91" i="31"/>
  <c r="I91" i="31"/>
  <c r="J91" i="31"/>
  <c r="K91" i="31"/>
  <c r="L91" i="31"/>
  <c r="M91" i="31"/>
  <c r="D92" i="31"/>
  <c r="E92" i="31"/>
  <c r="F92" i="31"/>
  <c r="G92" i="31"/>
  <c r="H92" i="31"/>
  <c r="I92" i="31"/>
  <c r="J92" i="31"/>
  <c r="K92" i="31"/>
  <c r="L92" i="31"/>
  <c r="M92" i="31"/>
  <c r="D93" i="31"/>
  <c r="E93" i="31"/>
  <c r="F93" i="31"/>
  <c r="G93" i="31"/>
  <c r="H93" i="31"/>
  <c r="I93" i="31"/>
  <c r="J93" i="31"/>
  <c r="K93" i="31"/>
  <c r="L93" i="31"/>
  <c r="M93" i="31"/>
  <c r="D94" i="31"/>
  <c r="E94" i="31"/>
  <c r="F94" i="31"/>
  <c r="G94" i="31"/>
  <c r="H94" i="31"/>
  <c r="I94" i="31"/>
  <c r="J94" i="31"/>
  <c r="K94" i="31"/>
  <c r="L94" i="31"/>
  <c r="M94" i="31"/>
  <c r="D95" i="31"/>
  <c r="E95" i="31"/>
  <c r="F95" i="31"/>
  <c r="G95" i="31"/>
  <c r="H95" i="31"/>
  <c r="I95" i="31"/>
  <c r="J95" i="31"/>
  <c r="K95" i="31"/>
  <c r="L95" i="31"/>
  <c r="M95" i="31"/>
  <c r="D96" i="31"/>
  <c r="E96" i="31"/>
  <c r="F96" i="31"/>
  <c r="G96" i="31"/>
  <c r="H96" i="31"/>
  <c r="I96" i="31"/>
  <c r="J96" i="31"/>
  <c r="K96" i="31"/>
  <c r="L96" i="31"/>
  <c r="M96" i="31"/>
  <c r="D97" i="31"/>
  <c r="E97" i="31"/>
  <c r="F97" i="31"/>
  <c r="G97" i="31"/>
  <c r="H97" i="31"/>
  <c r="I97" i="31"/>
  <c r="J97" i="31"/>
  <c r="K97" i="31"/>
  <c r="L97" i="31"/>
  <c r="M97" i="31"/>
  <c r="D98" i="31"/>
  <c r="E98" i="31"/>
  <c r="F98" i="31"/>
  <c r="G98" i="31"/>
  <c r="H98" i="31"/>
  <c r="I98" i="31"/>
  <c r="J98" i="31"/>
  <c r="K98" i="31"/>
  <c r="L98" i="31"/>
  <c r="M98" i="31"/>
  <c r="D99" i="31"/>
  <c r="E99" i="31"/>
  <c r="F99" i="31"/>
  <c r="G99" i="31"/>
  <c r="H99" i="31"/>
  <c r="I99" i="31"/>
  <c r="J99" i="31"/>
  <c r="K99" i="31"/>
  <c r="L99" i="31"/>
  <c r="M99" i="31"/>
  <c r="D100" i="31"/>
  <c r="E100" i="31"/>
  <c r="F100" i="31"/>
  <c r="G100" i="31"/>
  <c r="H100" i="31"/>
  <c r="I100" i="31"/>
  <c r="J100" i="31"/>
  <c r="K100" i="31"/>
  <c r="L100" i="31"/>
  <c r="M100" i="31"/>
  <c r="D101" i="31"/>
  <c r="E101" i="31"/>
  <c r="F101" i="31"/>
  <c r="G101" i="31"/>
  <c r="H101" i="31"/>
  <c r="I101" i="31"/>
  <c r="J101" i="31"/>
  <c r="K101" i="31"/>
  <c r="L101" i="31"/>
  <c r="M101" i="31"/>
  <c r="D102" i="31"/>
  <c r="E102" i="31"/>
  <c r="F102" i="31"/>
  <c r="G102" i="31"/>
  <c r="H102" i="31"/>
  <c r="I102" i="31"/>
  <c r="J102" i="31"/>
  <c r="K102" i="31"/>
  <c r="L102" i="31"/>
  <c r="M102" i="31"/>
  <c r="D103" i="31"/>
  <c r="E103" i="31"/>
  <c r="F103" i="31"/>
  <c r="G103" i="31"/>
  <c r="H103" i="31"/>
  <c r="I103" i="31"/>
  <c r="J103" i="31"/>
  <c r="K103" i="31"/>
  <c r="L103" i="31"/>
  <c r="M103" i="31"/>
  <c r="D104" i="31"/>
  <c r="E104" i="31"/>
  <c r="F104" i="31"/>
  <c r="G104" i="31"/>
  <c r="H104" i="31"/>
  <c r="I104" i="31"/>
  <c r="J104" i="31"/>
  <c r="K104" i="31"/>
  <c r="L104" i="31"/>
  <c r="M104" i="31"/>
  <c r="D105" i="31"/>
  <c r="E105" i="31"/>
  <c r="F105" i="31"/>
  <c r="G105" i="31"/>
  <c r="H105" i="31"/>
  <c r="I105" i="31"/>
  <c r="J105" i="31"/>
  <c r="K105" i="31"/>
  <c r="L105" i="31"/>
  <c r="M105" i="31"/>
  <c r="D106" i="31"/>
  <c r="E106" i="31"/>
  <c r="F106" i="31"/>
  <c r="G106" i="31"/>
  <c r="H106" i="31"/>
  <c r="I106" i="31"/>
  <c r="J106" i="31"/>
  <c r="K106" i="31"/>
  <c r="L106" i="31"/>
  <c r="M106" i="31"/>
  <c r="D107" i="31"/>
  <c r="E107" i="31"/>
  <c r="F107" i="31"/>
  <c r="G107" i="31"/>
  <c r="H107" i="31"/>
  <c r="I107" i="31"/>
  <c r="J107" i="31"/>
  <c r="K107" i="31"/>
  <c r="L107" i="31"/>
  <c r="M107" i="31"/>
  <c r="D108" i="31"/>
  <c r="E108" i="31"/>
  <c r="F108" i="31"/>
  <c r="G108" i="31"/>
  <c r="H108" i="31"/>
  <c r="I108" i="31"/>
  <c r="J108" i="31"/>
  <c r="K108" i="31"/>
  <c r="L108" i="31"/>
  <c r="M108" i="31"/>
  <c r="D109" i="31"/>
  <c r="E109" i="31"/>
  <c r="F109" i="31"/>
  <c r="G109" i="31"/>
  <c r="H109" i="31"/>
  <c r="I109" i="31"/>
  <c r="J109" i="31"/>
  <c r="K109" i="31"/>
  <c r="L109" i="31"/>
  <c r="M109" i="31"/>
  <c r="D110" i="31"/>
  <c r="E110" i="31"/>
  <c r="F110" i="31"/>
  <c r="G110" i="31"/>
  <c r="H110" i="31"/>
  <c r="I110" i="31"/>
  <c r="J110" i="31"/>
  <c r="K110" i="31"/>
  <c r="L110" i="31"/>
  <c r="M110" i="31"/>
  <c r="D111" i="31"/>
  <c r="E111" i="31"/>
  <c r="F111" i="31"/>
  <c r="G111" i="31"/>
  <c r="H111" i="31"/>
  <c r="I111" i="31"/>
  <c r="J111" i="31"/>
  <c r="K111" i="31"/>
  <c r="L111" i="31"/>
  <c r="M111" i="31"/>
  <c r="E90" i="31"/>
  <c r="F90" i="31"/>
  <c r="G90" i="31"/>
  <c r="H90" i="31"/>
  <c r="I90" i="31"/>
  <c r="J90" i="31"/>
  <c r="K90" i="31"/>
  <c r="L90" i="31"/>
  <c r="M90" i="31"/>
  <c r="D90" i="31"/>
  <c r="N109" i="31"/>
  <c r="O109" i="31"/>
  <c r="G67" i="58"/>
  <c r="F67" i="58"/>
  <c r="E67" i="58"/>
  <c r="D67" i="58"/>
  <c r="C67" i="58"/>
  <c r="B67" i="58"/>
  <c r="G66" i="58"/>
  <c r="F66" i="58"/>
  <c r="E66" i="58"/>
  <c r="D66" i="58"/>
  <c r="C66" i="58"/>
  <c r="B66" i="58"/>
  <c r="G62" i="58" l="1"/>
  <c r="G60" i="58"/>
  <c r="G24" i="13" l="1"/>
  <c r="G25" i="13"/>
  <c r="G26" i="13"/>
  <c r="G27" i="13"/>
  <c r="G28" i="13"/>
  <c r="G29" i="13"/>
  <c r="G30" i="13"/>
  <c r="G23" i="13"/>
  <c r="P7" i="12" l="1"/>
  <c r="G31" i="13"/>
  <c r="F25" i="13"/>
  <c r="C31" i="13"/>
  <c r="D31" i="13"/>
  <c r="E31" i="13"/>
  <c r="F31" i="13"/>
  <c r="B31" i="13"/>
  <c r="F30" i="13"/>
  <c r="F29" i="13"/>
  <c r="F28" i="13"/>
  <c r="F27" i="13"/>
  <c r="F26" i="13"/>
  <c r="F24" i="13"/>
  <c r="F23" i="13"/>
  <c r="C17" i="75" l="1"/>
  <c r="D17" i="75"/>
  <c r="E17" i="75"/>
  <c r="F17" i="75"/>
  <c r="G17" i="75"/>
  <c r="H17" i="75"/>
  <c r="B17" i="75"/>
  <c r="I6" i="75" l="1"/>
  <c r="I7" i="75"/>
  <c r="I8" i="75"/>
  <c r="I9" i="75"/>
  <c r="I10" i="75"/>
  <c r="I11" i="75"/>
  <c r="I12" i="75"/>
  <c r="I13" i="75"/>
  <c r="I14" i="75"/>
  <c r="I15" i="75"/>
  <c r="I16" i="75"/>
  <c r="I5" i="75"/>
  <c r="I17" i="75" s="1"/>
  <c r="I18" i="75" l="1"/>
  <c r="F18" i="75"/>
  <c r="D18" i="75"/>
  <c r="B18" i="75"/>
  <c r="G18" i="75"/>
  <c r="E18" i="75"/>
  <c r="C18" i="75"/>
  <c r="H18" i="75"/>
  <c r="G22" i="75"/>
  <c r="B32" i="75" s="1"/>
  <c r="G23" i="75"/>
  <c r="C32" i="75" s="1"/>
  <c r="G24" i="75"/>
  <c r="D32" i="75" s="1"/>
  <c r="G25" i="75"/>
  <c r="E32" i="75" s="1"/>
  <c r="G26" i="75"/>
  <c r="F32" i="75" s="1"/>
  <c r="G27" i="75"/>
  <c r="G32" i="75" s="1"/>
  <c r="G28" i="75"/>
  <c r="H32" i="75" s="1"/>
  <c r="F29" i="75"/>
  <c r="D29" i="75" l="1"/>
  <c r="C29" i="75"/>
  <c r="B29" i="75"/>
  <c r="E29" i="75"/>
  <c r="G29" i="75" l="1"/>
  <c r="H24" i="75" l="1"/>
  <c r="D33" i="75" s="1"/>
  <c r="H28" i="75"/>
  <c r="H33" i="75" s="1"/>
  <c r="H25" i="75"/>
  <c r="E33" i="75" s="1"/>
  <c r="H27" i="75"/>
  <c r="G33" i="75" s="1"/>
  <c r="H26" i="75"/>
  <c r="F33" i="75" s="1"/>
  <c r="H23" i="75"/>
  <c r="C33" i="75" s="1"/>
  <c r="H22" i="75"/>
  <c r="B33" i="75" s="1"/>
  <c r="H29" i="75" l="1"/>
  <c r="B72" i="16"/>
  <c r="C71" i="16"/>
  <c r="D71" i="16"/>
  <c r="E71" i="16"/>
  <c r="F71" i="16"/>
  <c r="G71" i="16"/>
  <c r="H71" i="16"/>
  <c r="I71" i="16"/>
  <c r="J71" i="16"/>
  <c r="K71" i="16"/>
  <c r="L71" i="16"/>
  <c r="M71" i="16"/>
  <c r="B71" i="16"/>
  <c r="C8" i="66" l="1"/>
  <c r="C9" i="66"/>
  <c r="C10" i="66"/>
  <c r="C11" i="66"/>
  <c r="C12" i="66"/>
  <c r="C13" i="66"/>
  <c r="C14" i="66"/>
  <c r="C15" i="66"/>
  <c r="C16" i="66"/>
  <c r="C17" i="66"/>
  <c r="C7" i="66"/>
  <c r="C6" i="66"/>
  <c r="F23" i="66"/>
  <c r="F22" i="66"/>
  <c r="L72" i="12"/>
  <c r="M72" i="12"/>
  <c r="M71" i="12"/>
  <c r="L71" i="12"/>
  <c r="N68" i="12"/>
  <c r="N69" i="12"/>
  <c r="O67" i="12" s="1"/>
  <c r="N67" i="12"/>
  <c r="L4" i="12"/>
  <c r="L68" i="12"/>
  <c r="L67" i="12"/>
  <c r="L69" i="12" s="1"/>
  <c r="J69" i="12"/>
  <c r="B69" i="12"/>
  <c r="C67" i="12" s="1"/>
  <c r="M40" i="12"/>
  <c r="P8" i="12"/>
  <c r="Q8" i="12"/>
  <c r="P9" i="12"/>
  <c r="Q9" i="12"/>
  <c r="P10" i="12"/>
  <c r="Q10" i="12"/>
  <c r="P11" i="12"/>
  <c r="Q11" i="12"/>
  <c r="P12" i="12"/>
  <c r="Q12" i="12"/>
  <c r="P13" i="12"/>
  <c r="Q13" i="12"/>
  <c r="P14" i="12"/>
  <c r="Q14" i="12"/>
  <c r="P15" i="12"/>
  <c r="Q15" i="12"/>
  <c r="P16" i="12"/>
  <c r="Q16" i="12"/>
  <c r="P17" i="12"/>
  <c r="Q17" i="12"/>
  <c r="P18" i="12"/>
  <c r="Q18" i="12"/>
  <c r="Q7" i="12"/>
  <c r="B19" i="12"/>
  <c r="H13" i="74"/>
  <c r="E14" i="74"/>
  <c r="B14" i="74"/>
  <c r="F13" i="74"/>
  <c r="E13" i="74"/>
  <c r="C13" i="74"/>
  <c r="B13" i="74"/>
  <c r="D13" i="74" s="1"/>
  <c r="H50" i="66"/>
  <c r="H51" i="66"/>
  <c r="F50" i="66"/>
  <c r="E50" i="66"/>
  <c r="D50" i="66"/>
  <c r="O68" i="12" l="1"/>
  <c r="O69" i="12" s="1"/>
  <c r="C68" i="12"/>
  <c r="C69" i="12" s="1"/>
  <c r="G13" i="74"/>
  <c r="B25" i="66"/>
  <c r="B24" i="66"/>
  <c r="I51" i="65" l="1"/>
  <c r="I59" i="65"/>
  <c r="E59" i="65"/>
  <c r="D59" i="65"/>
  <c r="F58" i="65"/>
  <c r="F57" i="65"/>
  <c r="F55" i="65"/>
  <c r="C56" i="65"/>
  <c r="F54" i="65"/>
  <c r="F53" i="65"/>
  <c r="F52" i="65"/>
  <c r="D6" i="35" l="1"/>
  <c r="D7" i="35"/>
  <c r="D8" i="35"/>
  <c r="D9" i="35"/>
  <c r="D10" i="35"/>
  <c r="D11" i="35"/>
  <c r="D12" i="35"/>
  <c r="D13" i="35"/>
  <c r="D14" i="35"/>
  <c r="D15" i="35"/>
  <c r="D16" i="35"/>
  <c r="D17" i="35"/>
  <c r="D5" i="35"/>
  <c r="D37" i="14" l="1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36" i="14"/>
  <c r="D32" i="14"/>
  <c r="D31" i="14"/>
  <c r="D30" i="14"/>
  <c r="D29" i="14"/>
  <c r="D28" i="14"/>
  <c r="D20" i="14"/>
  <c r="D19" i="14"/>
  <c r="D18" i="14"/>
  <c r="D17" i="14"/>
  <c r="D18" i="35" l="1"/>
  <c r="D154" i="14"/>
  <c r="F7" i="14" s="1"/>
  <c r="M181" i="42" l="1"/>
  <c r="F63" i="58"/>
  <c r="D28" i="58"/>
  <c r="D32" i="58"/>
  <c r="D24" i="58"/>
  <c r="B32" i="58"/>
  <c r="B24" i="58"/>
  <c r="J8" i="12"/>
  <c r="L8" i="12" s="1"/>
  <c r="K8" i="12"/>
  <c r="D25" i="58" s="1"/>
  <c r="J9" i="12"/>
  <c r="B26" i="58" s="1"/>
  <c r="K9" i="12"/>
  <c r="D26" i="58" s="1"/>
  <c r="J10" i="12"/>
  <c r="L10" i="12" s="1"/>
  <c r="K10" i="12"/>
  <c r="D27" i="58" s="1"/>
  <c r="J11" i="12"/>
  <c r="L11" i="12" s="1"/>
  <c r="M11" i="12" s="1"/>
  <c r="K11" i="12"/>
  <c r="J12" i="12"/>
  <c r="B29" i="58" s="1"/>
  <c r="K12" i="12"/>
  <c r="D29" i="58" s="1"/>
  <c r="L12" i="12"/>
  <c r="M12" i="12" s="1"/>
  <c r="J13" i="12"/>
  <c r="B30" i="58" s="1"/>
  <c r="K13" i="12"/>
  <c r="D30" i="58" s="1"/>
  <c r="J14" i="12"/>
  <c r="B31" i="58" s="1"/>
  <c r="K14" i="12"/>
  <c r="D31" i="58" s="1"/>
  <c r="J15" i="12"/>
  <c r="L15" i="12" s="1"/>
  <c r="K15" i="12"/>
  <c r="J16" i="12"/>
  <c r="B33" i="58" s="1"/>
  <c r="K16" i="12"/>
  <c r="D33" i="58" s="1"/>
  <c r="J17" i="12"/>
  <c r="B34" i="58" s="1"/>
  <c r="K17" i="12"/>
  <c r="D34" i="58" s="1"/>
  <c r="J18" i="12"/>
  <c r="B35" i="58" s="1"/>
  <c r="K18" i="12"/>
  <c r="D35" i="58" s="1"/>
  <c r="K7" i="12"/>
  <c r="J7" i="12"/>
  <c r="G33" i="15"/>
  <c r="O12" i="15"/>
  <c r="L21" i="15"/>
  <c r="L16" i="15"/>
  <c r="H23" i="15"/>
  <c r="H21" i="15"/>
  <c r="H16" i="15"/>
  <c r="H10" i="15"/>
  <c r="H6" i="15"/>
  <c r="I23" i="15"/>
  <c r="I21" i="15"/>
  <c r="I16" i="15"/>
  <c r="I10" i="15"/>
  <c r="I6" i="15"/>
  <c r="J23" i="15"/>
  <c r="J21" i="15"/>
  <c r="J16" i="15"/>
  <c r="J10" i="15"/>
  <c r="J6" i="15"/>
  <c r="K23" i="15"/>
  <c r="K21" i="15"/>
  <c r="K16" i="15"/>
  <c r="K10" i="15"/>
  <c r="K24" i="15" s="1"/>
  <c r="K6" i="15"/>
  <c r="L23" i="15"/>
  <c r="M23" i="15"/>
  <c r="N23" i="15"/>
  <c r="H32" i="15" s="1"/>
  <c r="I32" i="15" s="1"/>
  <c r="C23" i="15"/>
  <c r="D23" i="15"/>
  <c r="E23" i="15"/>
  <c r="E24" i="15" s="1"/>
  <c r="F23" i="15"/>
  <c r="G23" i="15"/>
  <c r="M21" i="15"/>
  <c r="N21" i="15"/>
  <c r="H31" i="15" s="1"/>
  <c r="I31" i="15" s="1"/>
  <c r="C21" i="15"/>
  <c r="D21" i="15"/>
  <c r="E21" i="15"/>
  <c r="F21" i="15"/>
  <c r="G21" i="15"/>
  <c r="M16" i="15"/>
  <c r="N16" i="15"/>
  <c r="H30" i="15" s="1"/>
  <c r="I30" i="15" s="1"/>
  <c r="C16" i="15"/>
  <c r="D16" i="15"/>
  <c r="E16" i="15"/>
  <c r="F16" i="15"/>
  <c r="G16" i="15"/>
  <c r="L10" i="15"/>
  <c r="M10" i="15"/>
  <c r="N10" i="15"/>
  <c r="C10" i="15"/>
  <c r="D10" i="15"/>
  <c r="E10" i="15"/>
  <c r="F10" i="15"/>
  <c r="G10" i="15"/>
  <c r="L6" i="15"/>
  <c r="M6" i="15"/>
  <c r="N6" i="15"/>
  <c r="C6" i="15"/>
  <c r="D6" i="15"/>
  <c r="D24" i="15" s="1"/>
  <c r="E6" i="15"/>
  <c r="F6" i="15"/>
  <c r="G6" i="15"/>
  <c r="G24" i="15" s="1"/>
  <c r="H29" i="15"/>
  <c r="I29" i="15" s="1"/>
  <c r="H28" i="15"/>
  <c r="I28" i="15" s="1"/>
  <c r="B38" i="16"/>
  <c r="B17" i="16"/>
  <c r="F24" i="15" l="1"/>
  <c r="C24" i="15"/>
  <c r="B27" i="58"/>
  <c r="J24" i="15"/>
  <c r="I24" i="15"/>
  <c r="B28" i="58"/>
  <c r="L13" i="12"/>
  <c r="M13" i="12" s="1"/>
  <c r="B25" i="58"/>
  <c r="L18" i="12"/>
  <c r="M18" i="12" s="1"/>
  <c r="L16" i="12"/>
  <c r="M16" i="12" s="1"/>
  <c r="L7" i="12"/>
  <c r="L17" i="12"/>
  <c r="L14" i="12"/>
  <c r="J19" i="12"/>
  <c r="L9" i="12"/>
  <c r="M9" i="12" s="1"/>
  <c r="K19" i="12"/>
  <c r="N24" i="15"/>
  <c r="M24" i="15"/>
  <c r="L24" i="15"/>
  <c r="H24" i="15"/>
  <c r="H33" i="15"/>
  <c r="B47" i="16"/>
  <c r="C47" i="16"/>
  <c r="D47" i="16"/>
  <c r="E47" i="16"/>
  <c r="F47" i="16"/>
  <c r="G47" i="16"/>
  <c r="H47" i="16"/>
  <c r="I47" i="16"/>
  <c r="J47" i="16"/>
  <c r="K47" i="16"/>
  <c r="L47" i="16"/>
  <c r="B48" i="16"/>
  <c r="C48" i="16"/>
  <c r="D48" i="16"/>
  <c r="E48" i="16"/>
  <c r="F48" i="16"/>
  <c r="G48" i="16"/>
  <c r="H48" i="16"/>
  <c r="I48" i="16"/>
  <c r="J48" i="16"/>
  <c r="K48" i="16"/>
  <c r="L48" i="16"/>
  <c r="B49" i="16"/>
  <c r="C49" i="16"/>
  <c r="D49" i="16"/>
  <c r="E49" i="16"/>
  <c r="F49" i="16"/>
  <c r="G49" i="16"/>
  <c r="H49" i="16"/>
  <c r="I49" i="16"/>
  <c r="J49" i="16"/>
  <c r="K49" i="16"/>
  <c r="L49" i="16"/>
  <c r="B50" i="16"/>
  <c r="C50" i="16"/>
  <c r="D50" i="16"/>
  <c r="E50" i="16"/>
  <c r="F50" i="16"/>
  <c r="G50" i="16"/>
  <c r="H50" i="16"/>
  <c r="I50" i="16"/>
  <c r="J50" i="16"/>
  <c r="K50" i="16"/>
  <c r="L50" i="16"/>
  <c r="B51" i="16"/>
  <c r="C51" i="16"/>
  <c r="D51" i="16"/>
  <c r="E51" i="16"/>
  <c r="F51" i="16"/>
  <c r="G51" i="16"/>
  <c r="H51" i="16"/>
  <c r="I51" i="16"/>
  <c r="J51" i="16"/>
  <c r="K51" i="16"/>
  <c r="L51" i="16"/>
  <c r="B52" i="16"/>
  <c r="C52" i="16"/>
  <c r="D52" i="16"/>
  <c r="E52" i="16"/>
  <c r="F52" i="16"/>
  <c r="G52" i="16"/>
  <c r="H52" i="16"/>
  <c r="I52" i="16"/>
  <c r="J52" i="16"/>
  <c r="K52" i="16"/>
  <c r="L52" i="16"/>
  <c r="B53" i="16"/>
  <c r="C53" i="16"/>
  <c r="D53" i="16"/>
  <c r="E53" i="16"/>
  <c r="F53" i="16"/>
  <c r="G53" i="16"/>
  <c r="H53" i="16"/>
  <c r="I53" i="16"/>
  <c r="J53" i="16"/>
  <c r="K53" i="16"/>
  <c r="L53" i="16"/>
  <c r="B54" i="16"/>
  <c r="C54" i="16"/>
  <c r="D54" i="16"/>
  <c r="E54" i="16"/>
  <c r="F54" i="16"/>
  <c r="G54" i="16"/>
  <c r="H54" i="16"/>
  <c r="I54" i="16"/>
  <c r="J54" i="16"/>
  <c r="K54" i="16"/>
  <c r="L54" i="16"/>
  <c r="B55" i="16"/>
  <c r="C55" i="16"/>
  <c r="D55" i="16"/>
  <c r="E55" i="16"/>
  <c r="F55" i="16"/>
  <c r="G55" i="16"/>
  <c r="H55" i="16"/>
  <c r="I55" i="16"/>
  <c r="J55" i="16"/>
  <c r="K55" i="16"/>
  <c r="L55" i="16"/>
  <c r="B56" i="16"/>
  <c r="C56" i="16"/>
  <c r="D56" i="16"/>
  <c r="E56" i="16"/>
  <c r="F56" i="16"/>
  <c r="G56" i="16"/>
  <c r="H56" i="16"/>
  <c r="I56" i="16"/>
  <c r="J56" i="16"/>
  <c r="K56" i="16"/>
  <c r="L56" i="16"/>
  <c r="B57" i="16"/>
  <c r="B70" i="16" s="1"/>
  <c r="C57" i="16"/>
  <c r="C70" i="16" s="1"/>
  <c r="D57" i="16"/>
  <c r="D70" i="16" s="1"/>
  <c r="E57" i="16"/>
  <c r="E70" i="16" s="1"/>
  <c r="F57" i="16"/>
  <c r="F70" i="16" s="1"/>
  <c r="G57" i="16"/>
  <c r="G70" i="16" s="1"/>
  <c r="H57" i="16"/>
  <c r="H70" i="16" s="1"/>
  <c r="I57" i="16"/>
  <c r="I70" i="16" s="1"/>
  <c r="J57" i="16"/>
  <c r="J70" i="16" s="1"/>
  <c r="K57" i="16"/>
  <c r="K70" i="16" s="1"/>
  <c r="L57" i="16"/>
  <c r="L70" i="16" s="1"/>
  <c r="C46" i="16"/>
  <c r="D46" i="16"/>
  <c r="E46" i="16"/>
  <c r="F46" i="16"/>
  <c r="G46" i="16"/>
  <c r="H46" i="16"/>
  <c r="I46" i="16"/>
  <c r="J46" i="16"/>
  <c r="K46" i="16"/>
  <c r="L46" i="16"/>
  <c r="B46" i="16"/>
  <c r="B58" i="16" s="1"/>
  <c r="M17" i="23" l="1"/>
  <c r="M15" i="12"/>
  <c r="M14" i="12"/>
  <c r="M17" i="12"/>
  <c r="M8" i="12"/>
  <c r="M10" i="12"/>
  <c r="L19" i="12"/>
  <c r="K20" i="12" s="1"/>
  <c r="J20" i="12"/>
  <c r="M70" i="16"/>
  <c r="M46" i="16"/>
  <c r="H46" i="66"/>
  <c r="H47" i="66" s="1"/>
  <c r="H48" i="66" s="1"/>
  <c r="H45" i="66"/>
  <c r="G47" i="66"/>
  <c r="J21" i="12" l="1"/>
  <c r="L20" i="12"/>
  <c r="J4" i="12"/>
  <c r="M7" i="12" s="1"/>
  <c r="B31" i="8" l="1"/>
  <c r="B30" i="8"/>
  <c r="B29" i="8"/>
  <c r="B28" i="8"/>
  <c r="B27" i="8"/>
  <c r="B26" i="8"/>
  <c r="B25" i="8"/>
  <c r="B24" i="8"/>
  <c r="B23" i="8"/>
  <c r="B22" i="8"/>
  <c r="B21" i="8"/>
  <c r="B20" i="8"/>
  <c r="C21" i="8"/>
  <c r="C22" i="8"/>
  <c r="C23" i="8"/>
  <c r="C24" i="8"/>
  <c r="C25" i="8"/>
  <c r="C26" i="8"/>
  <c r="C27" i="8"/>
  <c r="C28" i="8"/>
  <c r="C29" i="8"/>
  <c r="C30" i="8"/>
  <c r="C31" i="8"/>
  <c r="C20" i="8"/>
  <c r="D11" i="55"/>
  <c r="E11" i="55"/>
  <c r="F11" i="55"/>
  <c r="G11" i="55"/>
  <c r="H11" i="55"/>
  <c r="I11" i="55"/>
  <c r="J11" i="55"/>
  <c r="K11" i="55"/>
  <c r="L11" i="55"/>
  <c r="M11" i="55"/>
  <c r="N11" i="55"/>
  <c r="D55" i="55"/>
  <c r="E55" i="55"/>
  <c r="F55" i="55"/>
  <c r="G55" i="55"/>
  <c r="H55" i="55"/>
  <c r="I55" i="55"/>
  <c r="J55" i="55"/>
  <c r="K55" i="55"/>
  <c r="L55" i="55"/>
  <c r="M55" i="55"/>
  <c r="N55" i="55"/>
  <c r="D54" i="55"/>
  <c r="E54" i="55"/>
  <c r="F54" i="55"/>
  <c r="G54" i="55"/>
  <c r="H54" i="55"/>
  <c r="I54" i="55"/>
  <c r="J54" i="55"/>
  <c r="K54" i="55"/>
  <c r="L54" i="55"/>
  <c r="M54" i="55"/>
  <c r="N54" i="55"/>
  <c r="D59" i="55"/>
  <c r="E59" i="55"/>
  <c r="F59" i="55"/>
  <c r="G59" i="55"/>
  <c r="H59" i="55"/>
  <c r="I59" i="55"/>
  <c r="J59" i="55"/>
  <c r="K59" i="55"/>
  <c r="L59" i="55"/>
  <c r="M59" i="55"/>
  <c r="N59" i="55"/>
  <c r="D140" i="55"/>
  <c r="E140" i="55"/>
  <c r="F140" i="55"/>
  <c r="G140" i="55"/>
  <c r="H140" i="55"/>
  <c r="I140" i="55"/>
  <c r="J140" i="55"/>
  <c r="K140" i="55"/>
  <c r="L140" i="55"/>
  <c r="M140" i="55"/>
  <c r="N140" i="55"/>
  <c r="D134" i="55"/>
  <c r="E134" i="55"/>
  <c r="F134" i="55"/>
  <c r="G134" i="55"/>
  <c r="H134" i="55"/>
  <c r="I134" i="55"/>
  <c r="J134" i="55"/>
  <c r="K134" i="55"/>
  <c r="L134" i="55"/>
  <c r="M134" i="55"/>
  <c r="N134" i="55"/>
  <c r="D122" i="55"/>
  <c r="E122" i="55"/>
  <c r="F122" i="55"/>
  <c r="G122" i="55"/>
  <c r="H122" i="55"/>
  <c r="I122" i="55"/>
  <c r="J122" i="55"/>
  <c r="K122" i="55"/>
  <c r="L122" i="55"/>
  <c r="M122" i="55"/>
  <c r="N122" i="55"/>
  <c r="D92" i="55"/>
  <c r="E92" i="55"/>
  <c r="F92" i="55"/>
  <c r="G92" i="55"/>
  <c r="H92" i="55"/>
  <c r="I92" i="55"/>
  <c r="J92" i="55"/>
  <c r="K92" i="55"/>
  <c r="L92" i="55"/>
  <c r="M92" i="55"/>
  <c r="N92" i="55"/>
  <c r="D51" i="55"/>
  <c r="E51" i="55"/>
  <c r="F51" i="55"/>
  <c r="G51" i="55"/>
  <c r="H51" i="55"/>
  <c r="I51" i="55"/>
  <c r="J51" i="55"/>
  <c r="K51" i="55"/>
  <c r="L51" i="55"/>
  <c r="M51" i="55"/>
  <c r="N51" i="55"/>
  <c r="D10" i="55"/>
  <c r="E10" i="55"/>
  <c r="F10" i="55"/>
  <c r="G10" i="55"/>
  <c r="H10" i="55"/>
  <c r="I10" i="55"/>
  <c r="J10" i="55"/>
  <c r="K10" i="55"/>
  <c r="L10" i="55"/>
  <c r="M10" i="55"/>
  <c r="N10" i="55"/>
  <c r="D14" i="55"/>
  <c r="E14" i="55"/>
  <c r="F14" i="55"/>
  <c r="G14" i="55"/>
  <c r="H14" i="55"/>
  <c r="I14" i="55"/>
  <c r="J14" i="55"/>
  <c r="K14" i="55"/>
  <c r="L14" i="55"/>
  <c r="M14" i="55"/>
  <c r="N14" i="55"/>
  <c r="D103" i="55"/>
  <c r="E103" i="55"/>
  <c r="F103" i="55"/>
  <c r="G103" i="55"/>
  <c r="H103" i="55"/>
  <c r="I103" i="55"/>
  <c r="J103" i="55"/>
  <c r="K103" i="55"/>
  <c r="L103" i="55"/>
  <c r="M103" i="55"/>
  <c r="N103" i="55"/>
  <c r="D102" i="55"/>
  <c r="E102" i="55"/>
  <c r="F102" i="55"/>
  <c r="G102" i="55"/>
  <c r="H102" i="55"/>
  <c r="I102" i="55"/>
  <c r="J102" i="55"/>
  <c r="K102" i="55"/>
  <c r="L102" i="55"/>
  <c r="M102" i="55"/>
  <c r="N102" i="55"/>
  <c r="D85" i="55"/>
  <c r="E85" i="55"/>
  <c r="F85" i="55"/>
  <c r="G85" i="55"/>
  <c r="H85" i="55"/>
  <c r="I85" i="55"/>
  <c r="J85" i="55"/>
  <c r="K85" i="55"/>
  <c r="L85" i="55"/>
  <c r="M85" i="55"/>
  <c r="N85" i="55"/>
  <c r="D130" i="55"/>
  <c r="E130" i="55"/>
  <c r="F130" i="55"/>
  <c r="G130" i="55"/>
  <c r="H130" i="55"/>
  <c r="I130" i="55"/>
  <c r="J130" i="55"/>
  <c r="K130" i="55"/>
  <c r="L130" i="55"/>
  <c r="M130" i="55"/>
  <c r="N130" i="55"/>
  <c r="D128" i="55"/>
  <c r="E128" i="55"/>
  <c r="F128" i="55"/>
  <c r="G128" i="55"/>
  <c r="H128" i="55"/>
  <c r="I128" i="55"/>
  <c r="J128" i="55"/>
  <c r="K128" i="55"/>
  <c r="L128" i="55"/>
  <c r="M128" i="55"/>
  <c r="N128" i="55"/>
  <c r="D98" i="55"/>
  <c r="E98" i="55"/>
  <c r="F98" i="55"/>
  <c r="G98" i="55"/>
  <c r="H98" i="55"/>
  <c r="I98" i="55"/>
  <c r="J98" i="55"/>
  <c r="K98" i="55"/>
  <c r="L98" i="55"/>
  <c r="M98" i="55"/>
  <c r="N98" i="55"/>
  <c r="D124" i="55"/>
  <c r="E124" i="55"/>
  <c r="F124" i="55"/>
  <c r="G124" i="55"/>
  <c r="H124" i="55"/>
  <c r="I124" i="55"/>
  <c r="J124" i="55"/>
  <c r="K124" i="55"/>
  <c r="L124" i="55"/>
  <c r="M124" i="55"/>
  <c r="N124" i="55"/>
  <c r="D86" i="55"/>
  <c r="E86" i="55"/>
  <c r="F86" i="55"/>
  <c r="G86" i="55"/>
  <c r="H86" i="55"/>
  <c r="I86" i="55"/>
  <c r="J86" i="55"/>
  <c r="K86" i="55"/>
  <c r="L86" i="55"/>
  <c r="M86" i="55"/>
  <c r="N86" i="55"/>
  <c r="D30" i="55"/>
  <c r="E30" i="55"/>
  <c r="F30" i="55"/>
  <c r="G30" i="55"/>
  <c r="H30" i="55"/>
  <c r="I30" i="55"/>
  <c r="J30" i="55"/>
  <c r="K30" i="55"/>
  <c r="L30" i="55"/>
  <c r="M30" i="55"/>
  <c r="N30" i="55"/>
  <c r="D32" i="55"/>
  <c r="E32" i="55"/>
  <c r="F32" i="55"/>
  <c r="G32" i="55"/>
  <c r="H32" i="55"/>
  <c r="I32" i="55"/>
  <c r="J32" i="55"/>
  <c r="K32" i="55"/>
  <c r="L32" i="55"/>
  <c r="M32" i="55"/>
  <c r="N32" i="55"/>
  <c r="D37" i="55"/>
  <c r="E37" i="55"/>
  <c r="F37" i="55"/>
  <c r="G37" i="55"/>
  <c r="H37" i="55"/>
  <c r="I37" i="55"/>
  <c r="J37" i="55"/>
  <c r="K37" i="55"/>
  <c r="L37" i="55"/>
  <c r="M37" i="55"/>
  <c r="N37" i="55"/>
  <c r="D93" i="55"/>
  <c r="E93" i="55"/>
  <c r="F93" i="55"/>
  <c r="G93" i="55"/>
  <c r="H93" i="55"/>
  <c r="I93" i="55"/>
  <c r="J93" i="55"/>
  <c r="K93" i="55"/>
  <c r="L93" i="55"/>
  <c r="M93" i="55"/>
  <c r="N93" i="55"/>
  <c r="D111" i="55"/>
  <c r="E111" i="55"/>
  <c r="F111" i="55"/>
  <c r="G111" i="55"/>
  <c r="H111" i="55"/>
  <c r="I111" i="55"/>
  <c r="J111" i="55"/>
  <c r="K111" i="55"/>
  <c r="L111" i="55"/>
  <c r="M111" i="55"/>
  <c r="N111" i="55"/>
  <c r="D38" i="55"/>
  <c r="E38" i="55"/>
  <c r="F38" i="55"/>
  <c r="G38" i="55"/>
  <c r="H38" i="55"/>
  <c r="I38" i="55"/>
  <c r="J38" i="55"/>
  <c r="K38" i="55"/>
  <c r="L38" i="55"/>
  <c r="M38" i="55"/>
  <c r="N38" i="55"/>
  <c r="D34" i="55"/>
  <c r="E34" i="55"/>
  <c r="F34" i="55"/>
  <c r="G34" i="55"/>
  <c r="H34" i="55"/>
  <c r="I34" i="55"/>
  <c r="J34" i="55"/>
  <c r="K34" i="55"/>
  <c r="L34" i="55"/>
  <c r="M34" i="55"/>
  <c r="N34" i="55"/>
  <c r="D63" i="55"/>
  <c r="E63" i="55"/>
  <c r="F63" i="55"/>
  <c r="G63" i="55"/>
  <c r="H63" i="55"/>
  <c r="I63" i="55"/>
  <c r="J63" i="55"/>
  <c r="K63" i="55"/>
  <c r="L63" i="55"/>
  <c r="M63" i="55"/>
  <c r="N63" i="55"/>
  <c r="D61" i="55"/>
  <c r="E61" i="55"/>
  <c r="F61" i="55"/>
  <c r="G61" i="55"/>
  <c r="H61" i="55"/>
  <c r="I61" i="55"/>
  <c r="J61" i="55"/>
  <c r="K61" i="55"/>
  <c r="L61" i="55"/>
  <c r="M61" i="55"/>
  <c r="N61" i="55"/>
  <c r="D42" i="55"/>
  <c r="E42" i="55"/>
  <c r="F42" i="55"/>
  <c r="G42" i="55"/>
  <c r="H42" i="55"/>
  <c r="I42" i="55"/>
  <c r="J42" i="55"/>
  <c r="K42" i="55"/>
  <c r="L42" i="55"/>
  <c r="M42" i="55"/>
  <c r="N42" i="55"/>
  <c r="D47" i="55"/>
  <c r="E47" i="55"/>
  <c r="F47" i="55"/>
  <c r="G47" i="55"/>
  <c r="H47" i="55"/>
  <c r="I47" i="55"/>
  <c r="J47" i="55"/>
  <c r="K47" i="55"/>
  <c r="L47" i="55"/>
  <c r="M47" i="55"/>
  <c r="N47" i="55"/>
  <c r="D81" i="55"/>
  <c r="E81" i="55"/>
  <c r="F81" i="55"/>
  <c r="G81" i="55"/>
  <c r="H81" i="55"/>
  <c r="I81" i="55"/>
  <c r="J81" i="55"/>
  <c r="K81" i="55"/>
  <c r="L81" i="55"/>
  <c r="M81" i="55"/>
  <c r="N81" i="55"/>
  <c r="D31" i="55"/>
  <c r="E31" i="55"/>
  <c r="F31" i="55"/>
  <c r="G31" i="55"/>
  <c r="H31" i="55"/>
  <c r="I31" i="55"/>
  <c r="J31" i="55"/>
  <c r="K31" i="55"/>
  <c r="L31" i="55"/>
  <c r="M31" i="55"/>
  <c r="N31" i="55"/>
  <c r="D101" i="55"/>
  <c r="E101" i="55"/>
  <c r="F101" i="55"/>
  <c r="G101" i="55"/>
  <c r="H101" i="55"/>
  <c r="I101" i="55"/>
  <c r="J101" i="55"/>
  <c r="K101" i="55"/>
  <c r="L101" i="55"/>
  <c r="M101" i="55"/>
  <c r="N101" i="55"/>
  <c r="D20" i="55"/>
  <c r="E20" i="55"/>
  <c r="F20" i="55"/>
  <c r="G20" i="55"/>
  <c r="H20" i="55"/>
  <c r="I20" i="55"/>
  <c r="J20" i="55"/>
  <c r="K20" i="55"/>
  <c r="L20" i="55"/>
  <c r="M20" i="55"/>
  <c r="N20" i="55"/>
  <c r="D94" i="55"/>
  <c r="E94" i="55"/>
  <c r="F94" i="55"/>
  <c r="G94" i="55"/>
  <c r="H94" i="55"/>
  <c r="I94" i="55"/>
  <c r="J94" i="55"/>
  <c r="K94" i="55"/>
  <c r="L94" i="55"/>
  <c r="M94" i="55"/>
  <c r="N94" i="55"/>
  <c r="D16" i="55"/>
  <c r="E16" i="55"/>
  <c r="F16" i="55"/>
  <c r="G16" i="55"/>
  <c r="H16" i="55"/>
  <c r="I16" i="55"/>
  <c r="J16" i="55"/>
  <c r="K16" i="55"/>
  <c r="L16" i="55"/>
  <c r="M16" i="55"/>
  <c r="N16" i="55"/>
  <c r="D95" i="55"/>
  <c r="E95" i="55"/>
  <c r="F95" i="55"/>
  <c r="G95" i="55"/>
  <c r="H95" i="55"/>
  <c r="I95" i="55"/>
  <c r="J95" i="55"/>
  <c r="K95" i="55"/>
  <c r="L95" i="55"/>
  <c r="M95" i="55"/>
  <c r="N95" i="55"/>
  <c r="D36" i="55"/>
  <c r="E36" i="55"/>
  <c r="F36" i="55"/>
  <c r="G36" i="55"/>
  <c r="H36" i="55"/>
  <c r="I36" i="55"/>
  <c r="J36" i="55"/>
  <c r="K36" i="55"/>
  <c r="L36" i="55"/>
  <c r="M36" i="55"/>
  <c r="N36" i="55"/>
  <c r="D15" i="55"/>
  <c r="E15" i="55"/>
  <c r="F15" i="55"/>
  <c r="G15" i="55"/>
  <c r="H15" i="55"/>
  <c r="I15" i="55"/>
  <c r="J15" i="55"/>
  <c r="K15" i="55"/>
  <c r="L15" i="55"/>
  <c r="M15" i="55"/>
  <c r="N15" i="55"/>
  <c r="D26" i="55"/>
  <c r="E26" i="55"/>
  <c r="F26" i="55"/>
  <c r="G26" i="55"/>
  <c r="H26" i="55"/>
  <c r="I26" i="55"/>
  <c r="J26" i="55"/>
  <c r="K26" i="55"/>
  <c r="L26" i="55"/>
  <c r="M26" i="55"/>
  <c r="N26" i="55"/>
  <c r="D106" i="55"/>
  <c r="E106" i="55"/>
  <c r="F106" i="55"/>
  <c r="G106" i="55"/>
  <c r="H106" i="55"/>
  <c r="I106" i="55"/>
  <c r="J106" i="55"/>
  <c r="K106" i="55"/>
  <c r="L106" i="55"/>
  <c r="M106" i="55"/>
  <c r="N106" i="55"/>
  <c r="D79" i="55"/>
  <c r="E79" i="55"/>
  <c r="F79" i="55"/>
  <c r="G79" i="55"/>
  <c r="H79" i="55"/>
  <c r="I79" i="55"/>
  <c r="J79" i="55"/>
  <c r="K79" i="55"/>
  <c r="L79" i="55"/>
  <c r="M79" i="55"/>
  <c r="N79" i="55"/>
  <c r="D77" i="55"/>
  <c r="E77" i="55"/>
  <c r="F77" i="55"/>
  <c r="G77" i="55"/>
  <c r="H77" i="55"/>
  <c r="I77" i="55"/>
  <c r="J77" i="55"/>
  <c r="K77" i="55"/>
  <c r="L77" i="55"/>
  <c r="M77" i="55"/>
  <c r="N77" i="55"/>
  <c r="D104" i="55"/>
  <c r="E104" i="55"/>
  <c r="F104" i="55"/>
  <c r="G104" i="55"/>
  <c r="H104" i="55"/>
  <c r="I104" i="55"/>
  <c r="J104" i="55"/>
  <c r="K104" i="55"/>
  <c r="L104" i="55"/>
  <c r="M104" i="55"/>
  <c r="N104" i="55"/>
  <c r="D125" i="55"/>
  <c r="E125" i="55"/>
  <c r="F125" i="55"/>
  <c r="G125" i="55"/>
  <c r="H125" i="55"/>
  <c r="I125" i="55"/>
  <c r="J125" i="55"/>
  <c r="K125" i="55"/>
  <c r="L125" i="55"/>
  <c r="M125" i="55"/>
  <c r="N125" i="55"/>
  <c r="D70" i="55"/>
  <c r="E70" i="55"/>
  <c r="F70" i="55"/>
  <c r="G70" i="55"/>
  <c r="H70" i="55"/>
  <c r="I70" i="55"/>
  <c r="J70" i="55"/>
  <c r="K70" i="55"/>
  <c r="L70" i="55"/>
  <c r="M70" i="55"/>
  <c r="N70" i="55"/>
  <c r="D107" i="55"/>
  <c r="E107" i="55"/>
  <c r="F107" i="55"/>
  <c r="G107" i="55"/>
  <c r="H107" i="55"/>
  <c r="I107" i="55"/>
  <c r="J107" i="55"/>
  <c r="K107" i="55"/>
  <c r="L107" i="55"/>
  <c r="M107" i="55"/>
  <c r="N107" i="55"/>
  <c r="D108" i="55"/>
  <c r="E108" i="55"/>
  <c r="F108" i="55"/>
  <c r="G108" i="55"/>
  <c r="H108" i="55"/>
  <c r="I108" i="55"/>
  <c r="J108" i="55"/>
  <c r="K108" i="55"/>
  <c r="L108" i="55"/>
  <c r="M108" i="55"/>
  <c r="N108" i="55"/>
  <c r="D46" i="55"/>
  <c r="E46" i="55"/>
  <c r="F46" i="55"/>
  <c r="G46" i="55"/>
  <c r="H46" i="55"/>
  <c r="I46" i="55"/>
  <c r="J46" i="55"/>
  <c r="K46" i="55"/>
  <c r="L46" i="55"/>
  <c r="M46" i="55"/>
  <c r="N46" i="55"/>
  <c r="D39" i="55"/>
  <c r="E39" i="55"/>
  <c r="F39" i="55"/>
  <c r="G39" i="55"/>
  <c r="H39" i="55"/>
  <c r="I39" i="55"/>
  <c r="J39" i="55"/>
  <c r="K39" i="55"/>
  <c r="L39" i="55"/>
  <c r="M39" i="55"/>
  <c r="N39" i="55"/>
  <c r="D115" i="55"/>
  <c r="E115" i="55"/>
  <c r="F115" i="55"/>
  <c r="G115" i="55"/>
  <c r="H115" i="55"/>
  <c r="I115" i="55"/>
  <c r="J115" i="55"/>
  <c r="K115" i="55"/>
  <c r="L115" i="55"/>
  <c r="M115" i="55"/>
  <c r="N115" i="55"/>
  <c r="D112" i="55"/>
  <c r="E112" i="55"/>
  <c r="F112" i="55"/>
  <c r="G112" i="55"/>
  <c r="H112" i="55"/>
  <c r="I112" i="55"/>
  <c r="J112" i="55"/>
  <c r="K112" i="55"/>
  <c r="L112" i="55"/>
  <c r="M112" i="55"/>
  <c r="N112" i="55"/>
  <c r="D66" i="55"/>
  <c r="E66" i="55"/>
  <c r="F66" i="55"/>
  <c r="G66" i="55"/>
  <c r="H66" i="55"/>
  <c r="I66" i="55"/>
  <c r="J66" i="55"/>
  <c r="K66" i="55"/>
  <c r="L66" i="55"/>
  <c r="M66" i="55"/>
  <c r="N66" i="55"/>
  <c r="D29" i="55"/>
  <c r="E29" i="55"/>
  <c r="F29" i="55"/>
  <c r="G29" i="55"/>
  <c r="H29" i="55"/>
  <c r="I29" i="55"/>
  <c r="J29" i="55"/>
  <c r="K29" i="55"/>
  <c r="L29" i="55"/>
  <c r="M29" i="55"/>
  <c r="N29" i="55"/>
  <c r="D21" i="55"/>
  <c r="E21" i="55"/>
  <c r="F21" i="55"/>
  <c r="G21" i="55"/>
  <c r="H21" i="55"/>
  <c r="I21" i="55"/>
  <c r="J21" i="55"/>
  <c r="K21" i="55"/>
  <c r="L21" i="55"/>
  <c r="M21" i="55"/>
  <c r="N21" i="55"/>
  <c r="D41" i="55"/>
  <c r="E41" i="55"/>
  <c r="F41" i="55"/>
  <c r="G41" i="55"/>
  <c r="H41" i="55"/>
  <c r="I41" i="55"/>
  <c r="J41" i="55"/>
  <c r="K41" i="55"/>
  <c r="L41" i="55"/>
  <c r="M41" i="55"/>
  <c r="N41" i="55"/>
  <c r="D57" i="55"/>
  <c r="E57" i="55"/>
  <c r="F57" i="55"/>
  <c r="G57" i="55"/>
  <c r="H57" i="55"/>
  <c r="I57" i="55"/>
  <c r="J57" i="55"/>
  <c r="K57" i="55"/>
  <c r="L57" i="55"/>
  <c r="M57" i="55"/>
  <c r="N57" i="55"/>
  <c r="D33" i="55"/>
  <c r="E33" i="55"/>
  <c r="F33" i="55"/>
  <c r="G33" i="55"/>
  <c r="H33" i="55"/>
  <c r="I33" i="55"/>
  <c r="J33" i="55"/>
  <c r="K33" i="55"/>
  <c r="L33" i="55"/>
  <c r="M33" i="55"/>
  <c r="N33" i="55"/>
  <c r="D18" i="55"/>
  <c r="E18" i="55"/>
  <c r="F18" i="55"/>
  <c r="G18" i="55"/>
  <c r="H18" i="55"/>
  <c r="I18" i="55"/>
  <c r="J18" i="55"/>
  <c r="K18" i="55"/>
  <c r="L18" i="55"/>
  <c r="M18" i="55"/>
  <c r="N18" i="55"/>
  <c r="D50" i="55"/>
  <c r="E50" i="55"/>
  <c r="F50" i="55"/>
  <c r="G50" i="55"/>
  <c r="H50" i="55"/>
  <c r="I50" i="55"/>
  <c r="J50" i="55"/>
  <c r="K50" i="55"/>
  <c r="L50" i="55"/>
  <c r="M50" i="55"/>
  <c r="N50" i="55"/>
  <c r="D105" i="55"/>
  <c r="E105" i="55"/>
  <c r="F105" i="55"/>
  <c r="G105" i="55"/>
  <c r="H105" i="55"/>
  <c r="I105" i="55"/>
  <c r="J105" i="55"/>
  <c r="K105" i="55"/>
  <c r="L105" i="55"/>
  <c r="M105" i="55"/>
  <c r="N105" i="55"/>
  <c r="D141" i="55"/>
  <c r="E141" i="55"/>
  <c r="F141" i="55"/>
  <c r="G141" i="55"/>
  <c r="H141" i="55"/>
  <c r="I141" i="55"/>
  <c r="J141" i="55"/>
  <c r="K141" i="55"/>
  <c r="L141" i="55"/>
  <c r="M141" i="55"/>
  <c r="N141" i="55"/>
  <c r="D113" i="55"/>
  <c r="E113" i="55"/>
  <c r="F113" i="55"/>
  <c r="G113" i="55"/>
  <c r="H113" i="55"/>
  <c r="I113" i="55"/>
  <c r="J113" i="55"/>
  <c r="K113" i="55"/>
  <c r="L113" i="55"/>
  <c r="M113" i="55"/>
  <c r="N113" i="55"/>
  <c r="D12" i="55"/>
  <c r="E12" i="55"/>
  <c r="F12" i="55"/>
  <c r="G12" i="55"/>
  <c r="H12" i="55"/>
  <c r="I12" i="55"/>
  <c r="J12" i="55"/>
  <c r="K12" i="55"/>
  <c r="L12" i="55"/>
  <c r="M12" i="55"/>
  <c r="N12" i="55"/>
  <c r="D49" i="55"/>
  <c r="E49" i="55"/>
  <c r="F49" i="55"/>
  <c r="G49" i="55"/>
  <c r="H49" i="55"/>
  <c r="I49" i="55"/>
  <c r="J49" i="55"/>
  <c r="K49" i="55"/>
  <c r="L49" i="55"/>
  <c r="M49" i="55"/>
  <c r="N49" i="55"/>
  <c r="D136" i="55"/>
  <c r="E136" i="55"/>
  <c r="F136" i="55"/>
  <c r="G136" i="55"/>
  <c r="H136" i="55"/>
  <c r="I136" i="55"/>
  <c r="J136" i="55"/>
  <c r="K136" i="55"/>
  <c r="L136" i="55"/>
  <c r="M136" i="55"/>
  <c r="N136" i="55"/>
  <c r="D24" i="55"/>
  <c r="E24" i="55"/>
  <c r="F24" i="55"/>
  <c r="G24" i="55"/>
  <c r="H24" i="55"/>
  <c r="I24" i="55"/>
  <c r="J24" i="55"/>
  <c r="K24" i="55"/>
  <c r="L24" i="55"/>
  <c r="M24" i="55"/>
  <c r="N24" i="55"/>
  <c r="D123" i="55"/>
  <c r="E123" i="55"/>
  <c r="F123" i="55"/>
  <c r="G123" i="55"/>
  <c r="H123" i="55"/>
  <c r="I123" i="55"/>
  <c r="J123" i="55"/>
  <c r="K123" i="55"/>
  <c r="L123" i="55"/>
  <c r="M123" i="55"/>
  <c r="N123" i="55"/>
  <c r="D68" i="55"/>
  <c r="E68" i="55"/>
  <c r="F68" i="55"/>
  <c r="G68" i="55"/>
  <c r="H68" i="55"/>
  <c r="I68" i="55"/>
  <c r="J68" i="55"/>
  <c r="K68" i="55"/>
  <c r="L68" i="55"/>
  <c r="M68" i="55"/>
  <c r="N68" i="55"/>
  <c r="D40" i="55"/>
  <c r="E40" i="55"/>
  <c r="F40" i="55"/>
  <c r="G40" i="55"/>
  <c r="H40" i="55"/>
  <c r="I40" i="55"/>
  <c r="J40" i="55"/>
  <c r="K40" i="55"/>
  <c r="L40" i="55"/>
  <c r="M40" i="55"/>
  <c r="N40" i="55"/>
  <c r="D109" i="55"/>
  <c r="E109" i="55"/>
  <c r="F109" i="55"/>
  <c r="G109" i="55"/>
  <c r="H109" i="55"/>
  <c r="I109" i="55"/>
  <c r="J109" i="55"/>
  <c r="K109" i="55"/>
  <c r="L109" i="55"/>
  <c r="M109" i="55"/>
  <c r="N109" i="55"/>
  <c r="D58" i="55"/>
  <c r="E58" i="55"/>
  <c r="F58" i="55"/>
  <c r="G58" i="55"/>
  <c r="H58" i="55"/>
  <c r="I58" i="55"/>
  <c r="J58" i="55"/>
  <c r="K58" i="55"/>
  <c r="L58" i="55"/>
  <c r="M58" i="55"/>
  <c r="N58" i="55"/>
  <c r="D119" i="55"/>
  <c r="E119" i="55"/>
  <c r="F119" i="55"/>
  <c r="G119" i="55"/>
  <c r="H119" i="55"/>
  <c r="I119" i="55"/>
  <c r="J119" i="55"/>
  <c r="K119" i="55"/>
  <c r="L119" i="55"/>
  <c r="M119" i="55"/>
  <c r="N119" i="55"/>
  <c r="D88" i="55"/>
  <c r="E88" i="55"/>
  <c r="F88" i="55"/>
  <c r="G88" i="55"/>
  <c r="H88" i="55"/>
  <c r="I88" i="55"/>
  <c r="J88" i="55"/>
  <c r="K88" i="55"/>
  <c r="L88" i="55"/>
  <c r="M88" i="55"/>
  <c r="N88" i="55"/>
  <c r="D48" i="55"/>
  <c r="E48" i="55"/>
  <c r="F48" i="55"/>
  <c r="G48" i="55"/>
  <c r="H48" i="55"/>
  <c r="I48" i="55"/>
  <c r="J48" i="55"/>
  <c r="K48" i="55"/>
  <c r="L48" i="55"/>
  <c r="M48" i="55"/>
  <c r="N48" i="55"/>
  <c r="D138" i="55"/>
  <c r="E138" i="55"/>
  <c r="F138" i="55"/>
  <c r="G138" i="55"/>
  <c r="H138" i="55"/>
  <c r="I138" i="55"/>
  <c r="J138" i="55"/>
  <c r="K138" i="55"/>
  <c r="L138" i="55"/>
  <c r="M138" i="55"/>
  <c r="N138" i="55"/>
  <c r="D44" i="55"/>
  <c r="E44" i="55"/>
  <c r="F44" i="55"/>
  <c r="G44" i="55"/>
  <c r="H44" i="55"/>
  <c r="I44" i="55"/>
  <c r="J44" i="55"/>
  <c r="K44" i="55"/>
  <c r="L44" i="55"/>
  <c r="M44" i="55"/>
  <c r="N44" i="55"/>
  <c r="D25" i="55"/>
  <c r="E25" i="55"/>
  <c r="F25" i="55"/>
  <c r="G25" i="55"/>
  <c r="H25" i="55"/>
  <c r="I25" i="55"/>
  <c r="J25" i="55"/>
  <c r="K25" i="55"/>
  <c r="L25" i="55"/>
  <c r="M25" i="55"/>
  <c r="N25" i="55"/>
  <c r="D73" i="55"/>
  <c r="E73" i="55"/>
  <c r="F73" i="55"/>
  <c r="G73" i="55"/>
  <c r="H73" i="55"/>
  <c r="I73" i="55"/>
  <c r="J73" i="55"/>
  <c r="K73" i="55"/>
  <c r="L73" i="55"/>
  <c r="M73" i="55"/>
  <c r="N73" i="55"/>
  <c r="D71" i="55"/>
  <c r="E71" i="55"/>
  <c r="F71" i="55"/>
  <c r="G71" i="55"/>
  <c r="H71" i="55"/>
  <c r="I71" i="55"/>
  <c r="J71" i="55"/>
  <c r="K71" i="55"/>
  <c r="L71" i="55"/>
  <c r="M71" i="55"/>
  <c r="N71" i="55"/>
  <c r="D118" i="55"/>
  <c r="E118" i="55"/>
  <c r="F118" i="55"/>
  <c r="G118" i="55"/>
  <c r="H118" i="55"/>
  <c r="I118" i="55"/>
  <c r="J118" i="55"/>
  <c r="K118" i="55"/>
  <c r="L118" i="55"/>
  <c r="M118" i="55"/>
  <c r="N118" i="55"/>
  <c r="D65" i="55"/>
  <c r="E65" i="55"/>
  <c r="F65" i="55"/>
  <c r="G65" i="55"/>
  <c r="H65" i="55"/>
  <c r="I65" i="55"/>
  <c r="J65" i="55"/>
  <c r="K65" i="55"/>
  <c r="L65" i="55"/>
  <c r="M65" i="55"/>
  <c r="N65" i="55"/>
  <c r="D74" i="55"/>
  <c r="E74" i="55"/>
  <c r="F74" i="55"/>
  <c r="G74" i="55"/>
  <c r="H74" i="55"/>
  <c r="I74" i="55"/>
  <c r="J74" i="55"/>
  <c r="K74" i="55"/>
  <c r="L74" i="55"/>
  <c r="M74" i="55"/>
  <c r="N74" i="55"/>
  <c r="D23" i="55"/>
  <c r="E23" i="55"/>
  <c r="F23" i="55"/>
  <c r="G23" i="55"/>
  <c r="H23" i="55"/>
  <c r="I23" i="55"/>
  <c r="J23" i="55"/>
  <c r="K23" i="55"/>
  <c r="L23" i="55"/>
  <c r="M23" i="55"/>
  <c r="N23" i="55"/>
  <c r="D78" i="55"/>
  <c r="E78" i="55"/>
  <c r="F78" i="55"/>
  <c r="G78" i="55"/>
  <c r="H78" i="55"/>
  <c r="I78" i="55"/>
  <c r="J78" i="55"/>
  <c r="K78" i="55"/>
  <c r="L78" i="55"/>
  <c r="M78" i="55"/>
  <c r="N78" i="55"/>
  <c r="D129" i="55"/>
  <c r="E129" i="55"/>
  <c r="F129" i="55"/>
  <c r="G129" i="55"/>
  <c r="H129" i="55"/>
  <c r="I129" i="55"/>
  <c r="J129" i="55"/>
  <c r="K129" i="55"/>
  <c r="L129" i="55"/>
  <c r="M129" i="55"/>
  <c r="N129" i="55"/>
  <c r="D67" i="55"/>
  <c r="E67" i="55"/>
  <c r="F67" i="55"/>
  <c r="G67" i="55"/>
  <c r="H67" i="55"/>
  <c r="I67" i="55"/>
  <c r="J67" i="55"/>
  <c r="K67" i="55"/>
  <c r="L67" i="55"/>
  <c r="M67" i="55"/>
  <c r="N67" i="55"/>
  <c r="D56" i="55"/>
  <c r="E56" i="55"/>
  <c r="F56" i="55"/>
  <c r="G56" i="55"/>
  <c r="H56" i="55"/>
  <c r="I56" i="55"/>
  <c r="J56" i="55"/>
  <c r="K56" i="55"/>
  <c r="L56" i="55"/>
  <c r="M56" i="55"/>
  <c r="N56" i="55"/>
  <c r="D132" i="55"/>
  <c r="E132" i="55"/>
  <c r="F132" i="55"/>
  <c r="G132" i="55"/>
  <c r="H132" i="55"/>
  <c r="I132" i="55"/>
  <c r="J132" i="55"/>
  <c r="K132" i="55"/>
  <c r="L132" i="55"/>
  <c r="M132" i="55"/>
  <c r="N132" i="55"/>
  <c r="D75" i="55"/>
  <c r="E75" i="55"/>
  <c r="F75" i="55"/>
  <c r="G75" i="55"/>
  <c r="H75" i="55"/>
  <c r="I75" i="55"/>
  <c r="J75" i="55"/>
  <c r="K75" i="55"/>
  <c r="L75" i="55"/>
  <c r="M75" i="55"/>
  <c r="N75" i="55"/>
  <c r="D69" i="55"/>
  <c r="E69" i="55"/>
  <c r="F69" i="55"/>
  <c r="G69" i="55"/>
  <c r="H69" i="55"/>
  <c r="I69" i="55"/>
  <c r="J69" i="55"/>
  <c r="K69" i="55"/>
  <c r="L69" i="55"/>
  <c r="M69" i="55"/>
  <c r="N69" i="55"/>
  <c r="D19" i="55"/>
  <c r="E19" i="55"/>
  <c r="F19" i="55"/>
  <c r="G19" i="55"/>
  <c r="H19" i="55"/>
  <c r="I19" i="55"/>
  <c r="J19" i="55"/>
  <c r="K19" i="55"/>
  <c r="L19" i="55"/>
  <c r="M19" i="55"/>
  <c r="N19" i="55"/>
  <c r="D17" i="55"/>
  <c r="E17" i="55"/>
  <c r="F17" i="55"/>
  <c r="G17" i="55"/>
  <c r="H17" i="55"/>
  <c r="I17" i="55"/>
  <c r="J17" i="55"/>
  <c r="K17" i="55"/>
  <c r="L17" i="55"/>
  <c r="M17" i="55"/>
  <c r="N17" i="55"/>
  <c r="D52" i="55"/>
  <c r="E52" i="55"/>
  <c r="F52" i="55"/>
  <c r="G52" i="55"/>
  <c r="H52" i="55"/>
  <c r="I52" i="55"/>
  <c r="J52" i="55"/>
  <c r="K52" i="55"/>
  <c r="L52" i="55"/>
  <c r="M52" i="55"/>
  <c r="N52" i="55"/>
  <c r="D27" i="55"/>
  <c r="E27" i="55"/>
  <c r="F27" i="55"/>
  <c r="G27" i="55"/>
  <c r="H27" i="55"/>
  <c r="I27" i="55"/>
  <c r="J27" i="55"/>
  <c r="K27" i="55"/>
  <c r="L27" i="55"/>
  <c r="M27" i="55"/>
  <c r="N27" i="55"/>
  <c r="D82" i="55"/>
  <c r="E82" i="55"/>
  <c r="F82" i="55"/>
  <c r="G82" i="55"/>
  <c r="H82" i="55"/>
  <c r="I82" i="55"/>
  <c r="J82" i="55"/>
  <c r="K82" i="55"/>
  <c r="L82" i="55"/>
  <c r="M82" i="55"/>
  <c r="N82" i="55"/>
  <c r="D91" i="55"/>
  <c r="E91" i="55"/>
  <c r="F91" i="55"/>
  <c r="G91" i="55"/>
  <c r="H91" i="55"/>
  <c r="I91" i="55"/>
  <c r="J91" i="55"/>
  <c r="K91" i="55"/>
  <c r="L91" i="55"/>
  <c r="M91" i="55"/>
  <c r="N91" i="55"/>
  <c r="D126" i="55"/>
  <c r="E126" i="55"/>
  <c r="F126" i="55"/>
  <c r="G126" i="55"/>
  <c r="H126" i="55"/>
  <c r="I126" i="55"/>
  <c r="J126" i="55"/>
  <c r="K126" i="55"/>
  <c r="L126" i="55"/>
  <c r="M126" i="55"/>
  <c r="N126" i="55"/>
  <c r="D116" i="55"/>
  <c r="E116" i="55"/>
  <c r="F116" i="55"/>
  <c r="G116" i="55"/>
  <c r="H116" i="55"/>
  <c r="I116" i="55"/>
  <c r="J116" i="55"/>
  <c r="K116" i="55"/>
  <c r="L116" i="55"/>
  <c r="M116" i="55"/>
  <c r="N116" i="55"/>
  <c r="D100" i="55"/>
  <c r="E100" i="55"/>
  <c r="F100" i="55"/>
  <c r="G100" i="55"/>
  <c r="H100" i="55"/>
  <c r="I100" i="55"/>
  <c r="J100" i="55"/>
  <c r="K100" i="55"/>
  <c r="L100" i="55"/>
  <c r="M100" i="55"/>
  <c r="N100" i="55"/>
  <c r="D87" i="55"/>
  <c r="E87" i="55"/>
  <c r="F87" i="55"/>
  <c r="G87" i="55"/>
  <c r="H87" i="55"/>
  <c r="I87" i="55"/>
  <c r="J87" i="55"/>
  <c r="K87" i="55"/>
  <c r="L87" i="55"/>
  <c r="M87" i="55"/>
  <c r="N87" i="55"/>
  <c r="D137" i="55"/>
  <c r="E137" i="55"/>
  <c r="F137" i="55"/>
  <c r="G137" i="55"/>
  <c r="H137" i="55"/>
  <c r="I137" i="55"/>
  <c r="J137" i="55"/>
  <c r="K137" i="55"/>
  <c r="L137" i="55"/>
  <c r="M137" i="55"/>
  <c r="N137" i="55"/>
  <c r="D99" i="55"/>
  <c r="E99" i="55"/>
  <c r="F99" i="55"/>
  <c r="G99" i="55"/>
  <c r="H99" i="55"/>
  <c r="I99" i="55"/>
  <c r="J99" i="55"/>
  <c r="K99" i="55"/>
  <c r="L99" i="55"/>
  <c r="M99" i="55"/>
  <c r="N99" i="55"/>
  <c r="D120" i="55"/>
  <c r="E120" i="55"/>
  <c r="F120" i="55"/>
  <c r="G120" i="55"/>
  <c r="H120" i="55"/>
  <c r="I120" i="55"/>
  <c r="J120" i="55"/>
  <c r="K120" i="55"/>
  <c r="L120" i="55"/>
  <c r="M120" i="55"/>
  <c r="N120" i="55"/>
  <c r="D121" i="55"/>
  <c r="E121" i="55"/>
  <c r="F121" i="55"/>
  <c r="G121" i="55"/>
  <c r="H121" i="55"/>
  <c r="I121" i="55"/>
  <c r="J121" i="55"/>
  <c r="K121" i="55"/>
  <c r="L121" i="55"/>
  <c r="M121" i="55"/>
  <c r="N121" i="55"/>
  <c r="D127" i="55"/>
  <c r="E127" i="55"/>
  <c r="F127" i="55"/>
  <c r="G127" i="55"/>
  <c r="H127" i="55"/>
  <c r="I127" i="55"/>
  <c r="J127" i="55"/>
  <c r="K127" i="55"/>
  <c r="L127" i="55"/>
  <c r="M127" i="55"/>
  <c r="N127" i="55"/>
  <c r="D76" i="55"/>
  <c r="E76" i="55"/>
  <c r="F76" i="55"/>
  <c r="G76" i="55"/>
  <c r="H76" i="55"/>
  <c r="I76" i="55"/>
  <c r="J76" i="55"/>
  <c r="K76" i="55"/>
  <c r="L76" i="55"/>
  <c r="M76" i="55"/>
  <c r="N76" i="55"/>
  <c r="D64" i="55"/>
  <c r="E64" i="55"/>
  <c r="F64" i="55"/>
  <c r="G64" i="55"/>
  <c r="H64" i="55"/>
  <c r="I64" i="55"/>
  <c r="J64" i="55"/>
  <c r="K64" i="55"/>
  <c r="L64" i="55"/>
  <c r="M64" i="55"/>
  <c r="N64" i="55"/>
  <c r="D62" i="55"/>
  <c r="E62" i="55"/>
  <c r="F62" i="55"/>
  <c r="G62" i="55"/>
  <c r="H62" i="55"/>
  <c r="I62" i="55"/>
  <c r="J62" i="55"/>
  <c r="K62" i="55"/>
  <c r="L62" i="55"/>
  <c r="M62" i="55"/>
  <c r="N62" i="55"/>
  <c r="D117" i="55"/>
  <c r="E117" i="55"/>
  <c r="F117" i="55"/>
  <c r="G117" i="55"/>
  <c r="H117" i="55"/>
  <c r="I117" i="55"/>
  <c r="J117" i="55"/>
  <c r="K117" i="55"/>
  <c r="L117" i="55"/>
  <c r="M117" i="55"/>
  <c r="N117" i="55"/>
  <c r="D28" i="55"/>
  <c r="E28" i="55"/>
  <c r="F28" i="55"/>
  <c r="G28" i="55"/>
  <c r="H28" i="55"/>
  <c r="I28" i="55"/>
  <c r="J28" i="55"/>
  <c r="K28" i="55"/>
  <c r="L28" i="55"/>
  <c r="M28" i="55"/>
  <c r="N28" i="55"/>
  <c r="D13" i="55"/>
  <c r="E13" i="55"/>
  <c r="F13" i="55"/>
  <c r="G13" i="55"/>
  <c r="H13" i="55"/>
  <c r="I13" i="55"/>
  <c r="J13" i="55"/>
  <c r="K13" i="55"/>
  <c r="L13" i="55"/>
  <c r="M13" i="55"/>
  <c r="N13" i="55"/>
  <c r="D45" i="55"/>
  <c r="E45" i="55"/>
  <c r="F45" i="55"/>
  <c r="G45" i="55"/>
  <c r="H45" i="55"/>
  <c r="I45" i="55"/>
  <c r="J45" i="55"/>
  <c r="K45" i="55"/>
  <c r="L45" i="55"/>
  <c r="M45" i="55"/>
  <c r="N45" i="55"/>
  <c r="D89" i="55"/>
  <c r="E89" i="55"/>
  <c r="F89" i="55"/>
  <c r="G89" i="55"/>
  <c r="H89" i="55"/>
  <c r="I89" i="55"/>
  <c r="J89" i="55"/>
  <c r="K89" i="55"/>
  <c r="L89" i="55"/>
  <c r="M89" i="55"/>
  <c r="N89" i="55"/>
  <c r="D142" i="55"/>
  <c r="E142" i="55"/>
  <c r="F142" i="55"/>
  <c r="G142" i="55"/>
  <c r="H142" i="55"/>
  <c r="I142" i="55"/>
  <c r="J142" i="55"/>
  <c r="K142" i="55"/>
  <c r="L142" i="55"/>
  <c r="M142" i="55"/>
  <c r="N142" i="55"/>
  <c r="D131" i="55"/>
  <c r="E131" i="55"/>
  <c r="F131" i="55"/>
  <c r="G131" i="55"/>
  <c r="H131" i="55"/>
  <c r="I131" i="55"/>
  <c r="J131" i="55"/>
  <c r="K131" i="55"/>
  <c r="L131" i="55"/>
  <c r="M131" i="55"/>
  <c r="N131" i="55"/>
  <c r="D133" i="55"/>
  <c r="E133" i="55"/>
  <c r="F133" i="55"/>
  <c r="G133" i="55"/>
  <c r="H133" i="55"/>
  <c r="I133" i="55"/>
  <c r="J133" i="55"/>
  <c r="K133" i="55"/>
  <c r="L133" i="55"/>
  <c r="M133" i="55"/>
  <c r="N133" i="55"/>
  <c r="D135" i="55"/>
  <c r="E135" i="55"/>
  <c r="F135" i="55"/>
  <c r="G135" i="55"/>
  <c r="H135" i="55"/>
  <c r="I135" i="55"/>
  <c r="J135" i="55"/>
  <c r="K135" i="55"/>
  <c r="L135" i="55"/>
  <c r="M135" i="55"/>
  <c r="N135" i="55"/>
  <c r="D83" i="55"/>
  <c r="E83" i="55"/>
  <c r="F83" i="55"/>
  <c r="G83" i="55"/>
  <c r="H83" i="55"/>
  <c r="I83" i="55"/>
  <c r="J83" i="55"/>
  <c r="K83" i="55"/>
  <c r="L83" i="55"/>
  <c r="M83" i="55"/>
  <c r="N83" i="55"/>
  <c r="D90" i="55"/>
  <c r="E90" i="55"/>
  <c r="F90" i="55"/>
  <c r="G90" i="55"/>
  <c r="H90" i="55"/>
  <c r="I90" i="55"/>
  <c r="J90" i="55"/>
  <c r="K90" i="55"/>
  <c r="L90" i="55"/>
  <c r="M90" i="55"/>
  <c r="N90" i="55"/>
  <c r="D35" i="55"/>
  <c r="E35" i="55"/>
  <c r="F35" i="55"/>
  <c r="G35" i="55"/>
  <c r="H35" i="55"/>
  <c r="I35" i="55"/>
  <c r="J35" i="55"/>
  <c r="K35" i="55"/>
  <c r="L35" i="55"/>
  <c r="M35" i="55"/>
  <c r="N35" i="55"/>
  <c r="D53" i="55"/>
  <c r="E53" i="55"/>
  <c r="F53" i="55"/>
  <c r="G53" i="55"/>
  <c r="H53" i="55"/>
  <c r="I53" i="55"/>
  <c r="J53" i="55"/>
  <c r="K53" i="55"/>
  <c r="L53" i="55"/>
  <c r="M53" i="55"/>
  <c r="N53" i="55"/>
  <c r="D84" i="55"/>
  <c r="E84" i="55"/>
  <c r="F84" i="55"/>
  <c r="G84" i="55"/>
  <c r="H84" i="55"/>
  <c r="I84" i="55"/>
  <c r="J84" i="55"/>
  <c r="K84" i="55"/>
  <c r="L84" i="55"/>
  <c r="M84" i="55"/>
  <c r="N84" i="55"/>
  <c r="D43" i="55"/>
  <c r="E43" i="55"/>
  <c r="F43" i="55"/>
  <c r="G43" i="55"/>
  <c r="H43" i="55"/>
  <c r="I43" i="55"/>
  <c r="J43" i="55"/>
  <c r="K43" i="55"/>
  <c r="L43" i="55"/>
  <c r="M43" i="55"/>
  <c r="N43" i="55"/>
  <c r="D80" i="55"/>
  <c r="E80" i="55"/>
  <c r="F80" i="55"/>
  <c r="G80" i="55"/>
  <c r="H80" i="55"/>
  <c r="I80" i="55"/>
  <c r="J80" i="55"/>
  <c r="K80" i="55"/>
  <c r="L80" i="55"/>
  <c r="M80" i="55"/>
  <c r="N80" i="55"/>
  <c r="D60" i="55"/>
  <c r="E60" i="55"/>
  <c r="F60" i="55"/>
  <c r="G60" i="55"/>
  <c r="H60" i="55"/>
  <c r="I60" i="55"/>
  <c r="J60" i="55"/>
  <c r="K60" i="55"/>
  <c r="L60" i="55"/>
  <c r="M60" i="55"/>
  <c r="N60" i="55"/>
  <c r="D139" i="55"/>
  <c r="E139" i="55"/>
  <c r="F139" i="55"/>
  <c r="G139" i="55"/>
  <c r="H139" i="55"/>
  <c r="I139" i="55"/>
  <c r="J139" i="55"/>
  <c r="K139" i="55"/>
  <c r="L139" i="55"/>
  <c r="M139" i="55"/>
  <c r="N139" i="55"/>
  <c r="D114" i="55"/>
  <c r="E114" i="55"/>
  <c r="F114" i="55"/>
  <c r="G114" i="55"/>
  <c r="H114" i="55"/>
  <c r="I114" i="55"/>
  <c r="J114" i="55"/>
  <c r="K114" i="55"/>
  <c r="L114" i="55"/>
  <c r="M114" i="55"/>
  <c r="N114" i="55"/>
  <c r="D72" i="55"/>
  <c r="E72" i="55"/>
  <c r="F72" i="55"/>
  <c r="G72" i="55"/>
  <c r="H72" i="55"/>
  <c r="I72" i="55"/>
  <c r="J72" i="55"/>
  <c r="K72" i="55"/>
  <c r="L72" i="55"/>
  <c r="M72" i="55"/>
  <c r="N72" i="55"/>
  <c r="D110" i="55"/>
  <c r="E110" i="55"/>
  <c r="F110" i="55"/>
  <c r="G110" i="55"/>
  <c r="H110" i="55"/>
  <c r="I110" i="55"/>
  <c r="J110" i="55"/>
  <c r="K110" i="55"/>
  <c r="L110" i="55"/>
  <c r="M110" i="55"/>
  <c r="N110" i="55"/>
  <c r="D96" i="55"/>
  <c r="E96" i="55"/>
  <c r="F96" i="55"/>
  <c r="G96" i="55"/>
  <c r="H96" i="55"/>
  <c r="I96" i="55"/>
  <c r="J96" i="55"/>
  <c r="K96" i="55"/>
  <c r="L96" i="55"/>
  <c r="M96" i="55"/>
  <c r="N96" i="55"/>
  <c r="D22" i="55"/>
  <c r="E22" i="55"/>
  <c r="F22" i="55"/>
  <c r="G22" i="55"/>
  <c r="H22" i="55"/>
  <c r="I22" i="55"/>
  <c r="J22" i="55"/>
  <c r="K22" i="55"/>
  <c r="L22" i="55"/>
  <c r="M22" i="55"/>
  <c r="N22" i="55"/>
  <c r="D97" i="55"/>
  <c r="E97" i="55"/>
  <c r="F97" i="55"/>
  <c r="G97" i="55"/>
  <c r="H97" i="55"/>
  <c r="I97" i="55"/>
  <c r="J97" i="55"/>
  <c r="K97" i="55"/>
  <c r="L97" i="55"/>
  <c r="M97" i="55"/>
  <c r="N97" i="55"/>
  <c r="H45" i="65"/>
  <c r="C6" i="65"/>
  <c r="E37" i="65"/>
  <c r="D37" i="65"/>
  <c r="B3" i="34" l="1"/>
  <c r="C50" i="65"/>
  <c r="G52" i="65" s="1"/>
  <c r="F143" i="55"/>
  <c r="D18" i="34"/>
  <c r="D15" i="34"/>
  <c r="D14" i="34"/>
  <c r="D17" i="34"/>
  <c r="M143" i="55"/>
  <c r="I143" i="55"/>
  <c r="E143" i="55"/>
  <c r="H143" i="55"/>
  <c r="D143" i="55"/>
  <c r="L143" i="55"/>
  <c r="K143" i="55"/>
  <c r="N143" i="55"/>
  <c r="J143" i="55"/>
  <c r="G143" i="55"/>
  <c r="F36" i="65"/>
  <c r="F35" i="65"/>
  <c r="F34" i="65"/>
  <c r="F33" i="65"/>
  <c r="F30" i="65"/>
  <c r="F29" i="65"/>
  <c r="F27" i="65"/>
  <c r="F26" i="65"/>
  <c r="F25" i="65"/>
  <c r="F32" i="65"/>
  <c r="F31" i="65"/>
  <c r="F28" i="65"/>
  <c r="F24" i="65"/>
  <c r="F23" i="65"/>
  <c r="F22" i="65"/>
  <c r="G53" i="65" l="1"/>
  <c r="G54" i="65" s="1"/>
  <c r="F21" i="65"/>
  <c r="F20" i="65"/>
  <c r="F19" i="65"/>
  <c r="G55" i="65" l="1"/>
  <c r="G56" i="65" s="1"/>
  <c r="G57" i="65" s="1"/>
  <c r="G58" i="65" s="1"/>
  <c r="G59" i="65" s="1"/>
  <c r="F17" i="65"/>
  <c r="F11" i="65"/>
  <c r="F12" i="65"/>
  <c r="F13" i="65"/>
  <c r="F14" i="65"/>
  <c r="F15" i="65"/>
  <c r="F16" i="65"/>
  <c r="C18" i="65" s="1"/>
  <c r="F18" i="65" s="1"/>
  <c r="G8" i="65"/>
  <c r="G9" i="65" s="1"/>
  <c r="G10" i="65" s="1"/>
  <c r="G11" i="65" l="1"/>
  <c r="G12" i="65" s="1"/>
  <c r="G13" i="65" s="1"/>
  <c r="G14" i="65" s="1"/>
  <c r="B5" i="34"/>
  <c r="F9" i="65"/>
  <c r="F10" i="65"/>
  <c r="F8" i="65"/>
  <c r="G15" i="65" l="1"/>
  <c r="G16" i="65" s="1"/>
  <c r="C5" i="34"/>
  <c r="G164" i="42"/>
  <c r="G165" i="42"/>
  <c r="G163" i="42"/>
  <c r="G162" i="42"/>
  <c r="G161" i="42"/>
  <c r="B182" i="42"/>
  <c r="B181" i="42"/>
  <c r="B180" i="42"/>
  <c r="B177" i="42"/>
  <c r="B176" i="42"/>
  <c r="B175" i="42"/>
  <c r="B172" i="42"/>
  <c r="B171" i="42"/>
  <c r="B170" i="42"/>
  <c r="B169" i="42"/>
  <c r="B168" i="42"/>
  <c r="B167" i="42"/>
  <c r="B166" i="42"/>
  <c r="B165" i="42"/>
  <c r="B164" i="42"/>
  <c r="B161" i="42"/>
  <c r="G134" i="42"/>
  <c r="G133" i="42"/>
  <c r="B151" i="42"/>
  <c r="B150" i="42"/>
  <c r="B149" i="42"/>
  <c r="B146" i="42"/>
  <c r="B145" i="42"/>
  <c r="B144" i="42"/>
  <c r="B143" i="42"/>
  <c r="B142" i="42"/>
  <c r="B141" i="42"/>
  <c r="B140" i="42"/>
  <c r="B139" i="42"/>
  <c r="B138" i="42"/>
  <c r="B137" i="42"/>
  <c r="B136" i="42"/>
  <c r="B135" i="42"/>
  <c r="B134" i="42"/>
  <c r="B133" i="42"/>
  <c r="G116" i="42"/>
  <c r="G115" i="42"/>
  <c r="G114" i="42"/>
  <c r="G113" i="42"/>
  <c r="G112" i="42"/>
  <c r="G111" i="42"/>
  <c r="G110" i="42"/>
  <c r="G109" i="42"/>
  <c r="G108" i="42"/>
  <c r="B116" i="42"/>
  <c r="B115" i="42"/>
  <c r="B114" i="42"/>
  <c r="B111" i="42"/>
  <c r="B108" i="42"/>
  <c r="G82" i="42"/>
  <c r="G81" i="42"/>
  <c r="B99" i="42"/>
  <c r="B98" i="42"/>
  <c r="B95" i="42"/>
  <c r="B92" i="42"/>
  <c r="B91" i="42"/>
  <c r="B88" i="42"/>
  <c r="B87" i="42"/>
  <c r="B84" i="42"/>
  <c r="B83" i="42"/>
  <c r="B80" i="42"/>
  <c r="B79" i="42"/>
  <c r="B78" i="42"/>
  <c r="G17" i="65" l="1"/>
  <c r="D5" i="34"/>
  <c r="G61" i="42"/>
  <c r="G60" i="42"/>
  <c r="G59" i="42"/>
  <c r="G57" i="42"/>
  <c r="G56" i="42"/>
  <c r="G55" i="42"/>
  <c r="G54" i="42"/>
  <c r="G53" i="42"/>
  <c r="G52" i="42"/>
  <c r="G58" i="42"/>
  <c r="B65" i="42"/>
  <c r="B64" i="42"/>
  <c r="B63" i="42"/>
  <c r="B62" i="42"/>
  <c r="B61" i="42"/>
  <c r="B58" i="42"/>
  <c r="B57" i="42"/>
  <c r="B56" i="42"/>
  <c r="B55" i="42"/>
  <c r="B54" i="42"/>
  <c r="G66" i="42" s="1"/>
  <c r="B53" i="42"/>
  <c r="B52" i="42"/>
  <c r="G29" i="42"/>
  <c r="G28" i="42"/>
  <c r="G25" i="42"/>
  <c r="G24" i="42"/>
  <c r="G23" i="42"/>
  <c r="G22" i="42"/>
  <c r="G21" i="42"/>
  <c r="G18" i="42"/>
  <c r="G17" i="42"/>
  <c r="G16" i="42"/>
  <c r="G15" i="42"/>
  <c r="G12" i="42"/>
  <c r="G11" i="42"/>
  <c r="G10" i="42"/>
  <c r="G9" i="42"/>
  <c r="B43" i="42"/>
  <c r="B42" i="42"/>
  <c r="B41" i="42"/>
  <c r="B40" i="42"/>
  <c r="B39" i="42"/>
  <c r="B38" i="42"/>
  <c r="B37" i="42"/>
  <c r="B36" i="42"/>
  <c r="B35" i="42"/>
  <c r="B34" i="42"/>
  <c r="B33" i="42"/>
  <c r="B30" i="42"/>
  <c r="B29" i="42"/>
  <c r="B28" i="42"/>
  <c r="B25" i="42"/>
  <c r="B24" i="42"/>
  <c r="B21" i="42"/>
  <c r="B20" i="42"/>
  <c r="B19" i="42"/>
  <c r="B18" i="42"/>
  <c r="B17" i="42"/>
  <c r="B16" i="42"/>
  <c r="B15" i="42"/>
  <c r="B14" i="42"/>
  <c r="B13" i="42"/>
  <c r="B12" i="42"/>
  <c r="B9" i="42"/>
  <c r="B23" i="42" l="1"/>
  <c r="B32" i="42"/>
  <c r="B11" i="42"/>
  <c r="B27" i="42"/>
  <c r="G18" i="65"/>
  <c r="F5" i="34"/>
  <c r="E5" i="34"/>
  <c r="G51" i="42"/>
  <c r="G67" i="42"/>
  <c r="G19" i="65" l="1"/>
  <c r="G5" i="34"/>
  <c r="D39" i="31"/>
  <c r="E39" i="31"/>
  <c r="F39" i="31"/>
  <c r="G39" i="31"/>
  <c r="H39" i="31"/>
  <c r="I39" i="31"/>
  <c r="J39" i="31"/>
  <c r="K39" i="31"/>
  <c r="L39" i="31"/>
  <c r="D40" i="31"/>
  <c r="E40" i="31"/>
  <c r="F40" i="31"/>
  <c r="G40" i="31"/>
  <c r="H40" i="31"/>
  <c r="I40" i="31"/>
  <c r="J40" i="31"/>
  <c r="K40" i="31"/>
  <c r="L40" i="31"/>
  <c r="D41" i="31"/>
  <c r="E41" i="31"/>
  <c r="F41" i="31"/>
  <c r="G41" i="31"/>
  <c r="H41" i="31"/>
  <c r="I41" i="31"/>
  <c r="J41" i="31"/>
  <c r="K41" i="31"/>
  <c r="L41" i="31"/>
  <c r="D42" i="31"/>
  <c r="E42" i="31"/>
  <c r="F42" i="31"/>
  <c r="G42" i="31"/>
  <c r="H42" i="31"/>
  <c r="I42" i="31"/>
  <c r="J42" i="31"/>
  <c r="K42" i="31"/>
  <c r="L42" i="31"/>
  <c r="D43" i="31"/>
  <c r="E43" i="31"/>
  <c r="F43" i="31"/>
  <c r="G43" i="31"/>
  <c r="H43" i="31"/>
  <c r="I43" i="31"/>
  <c r="J43" i="31"/>
  <c r="K43" i="31"/>
  <c r="L43" i="31"/>
  <c r="D44" i="31"/>
  <c r="E44" i="31"/>
  <c r="F44" i="31"/>
  <c r="G44" i="31"/>
  <c r="H44" i="31"/>
  <c r="I44" i="31"/>
  <c r="J44" i="31"/>
  <c r="K44" i="31"/>
  <c r="L44" i="31"/>
  <c r="D45" i="31"/>
  <c r="E45" i="31"/>
  <c r="F45" i="31"/>
  <c r="G45" i="31"/>
  <c r="H45" i="31"/>
  <c r="I45" i="31"/>
  <c r="J45" i="31"/>
  <c r="K45" i="31"/>
  <c r="L45" i="31"/>
  <c r="D46" i="31"/>
  <c r="E46" i="31"/>
  <c r="F46" i="31"/>
  <c r="G46" i="31"/>
  <c r="H46" i="31"/>
  <c r="I46" i="31"/>
  <c r="J46" i="31"/>
  <c r="K46" i="31"/>
  <c r="L46" i="31"/>
  <c r="D47" i="31"/>
  <c r="E47" i="31"/>
  <c r="F47" i="31"/>
  <c r="G47" i="31"/>
  <c r="H47" i="31"/>
  <c r="I47" i="31"/>
  <c r="J47" i="31"/>
  <c r="K47" i="31"/>
  <c r="L47" i="31"/>
  <c r="D48" i="31"/>
  <c r="E48" i="31"/>
  <c r="F48" i="31"/>
  <c r="G48" i="31"/>
  <c r="H48" i="31"/>
  <c r="I48" i="31"/>
  <c r="J48" i="31"/>
  <c r="K48" i="31"/>
  <c r="L48" i="31"/>
  <c r="D49" i="31"/>
  <c r="E49" i="31"/>
  <c r="F49" i="31"/>
  <c r="G49" i="31"/>
  <c r="H49" i="31"/>
  <c r="I49" i="31"/>
  <c r="J49" i="31"/>
  <c r="K49" i="31"/>
  <c r="L49" i="31"/>
  <c r="D50" i="31"/>
  <c r="E50" i="31"/>
  <c r="F50" i="31"/>
  <c r="G50" i="31"/>
  <c r="H50" i="31"/>
  <c r="I50" i="31"/>
  <c r="J50" i="31"/>
  <c r="K50" i="31"/>
  <c r="L50" i="31"/>
  <c r="D51" i="31"/>
  <c r="E51" i="31"/>
  <c r="F51" i="31"/>
  <c r="G51" i="31"/>
  <c r="H51" i="31"/>
  <c r="I51" i="31"/>
  <c r="J51" i="31"/>
  <c r="K51" i="31"/>
  <c r="L51" i="31"/>
  <c r="D52" i="31"/>
  <c r="E52" i="31"/>
  <c r="F52" i="31"/>
  <c r="G52" i="31"/>
  <c r="H52" i="31"/>
  <c r="I52" i="31"/>
  <c r="J52" i="31"/>
  <c r="K52" i="31"/>
  <c r="L52" i="31"/>
  <c r="D53" i="31"/>
  <c r="E53" i="31"/>
  <c r="F53" i="31"/>
  <c r="G53" i="31"/>
  <c r="H53" i="31"/>
  <c r="I53" i="31"/>
  <c r="J53" i="31"/>
  <c r="K53" i="31"/>
  <c r="L53" i="31"/>
  <c r="D54" i="31"/>
  <c r="E54" i="31"/>
  <c r="F54" i="31"/>
  <c r="G54" i="31"/>
  <c r="H54" i="31"/>
  <c r="I54" i="31"/>
  <c r="J54" i="31"/>
  <c r="K54" i="31"/>
  <c r="L54" i="31"/>
  <c r="D55" i="31"/>
  <c r="E55" i="31"/>
  <c r="F55" i="31"/>
  <c r="G55" i="31"/>
  <c r="H55" i="31"/>
  <c r="I55" i="31"/>
  <c r="J55" i="31"/>
  <c r="K55" i="31"/>
  <c r="L55" i="31"/>
  <c r="D56" i="31"/>
  <c r="E56" i="31"/>
  <c r="F56" i="31"/>
  <c r="G56" i="31"/>
  <c r="H56" i="31"/>
  <c r="I56" i="31"/>
  <c r="J56" i="31"/>
  <c r="K56" i="31"/>
  <c r="L56" i="31"/>
  <c r="D57" i="31"/>
  <c r="E57" i="31"/>
  <c r="F57" i="31"/>
  <c r="G57" i="31"/>
  <c r="H57" i="31"/>
  <c r="I57" i="31"/>
  <c r="J57" i="31"/>
  <c r="K57" i="31"/>
  <c r="L57" i="31"/>
  <c r="D58" i="31"/>
  <c r="E58" i="31"/>
  <c r="F58" i="31"/>
  <c r="G58" i="31"/>
  <c r="H58" i="31"/>
  <c r="I58" i="31"/>
  <c r="J58" i="31"/>
  <c r="K58" i="31"/>
  <c r="L58" i="31"/>
  <c r="D59" i="31"/>
  <c r="E59" i="31"/>
  <c r="F59" i="31"/>
  <c r="G59" i="31"/>
  <c r="H59" i="31"/>
  <c r="I59" i="31"/>
  <c r="J59" i="31"/>
  <c r="K59" i="31"/>
  <c r="L59" i="31"/>
  <c r="D60" i="31"/>
  <c r="E60" i="31"/>
  <c r="F60" i="31"/>
  <c r="G60" i="31"/>
  <c r="H60" i="31"/>
  <c r="I60" i="31"/>
  <c r="J60" i="31"/>
  <c r="K60" i="31"/>
  <c r="L60" i="31"/>
  <c r="D61" i="31"/>
  <c r="E61" i="31"/>
  <c r="F61" i="31"/>
  <c r="G61" i="31"/>
  <c r="H61" i="31"/>
  <c r="I61" i="31"/>
  <c r="J61" i="31"/>
  <c r="K61" i="31"/>
  <c r="L61" i="31"/>
  <c r="D62" i="31"/>
  <c r="E62" i="31"/>
  <c r="F62" i="31"/>
  <c r="G62" i="31"/>
  <c r="H62" i="31"/>
  <c r="I62" i="31"/>
  <c r="J62" i="31"/>
  <c r="K62" i="31"/>
  <c r="L62" i="31"/>
  <c r="D63" i="31"/>
  <c r="E63" i="31"/>
  <c r="F63" i="31"/>
  <c r="G63" i="31"/>
  <c r="H63" i="31"/>
  <c r="I63" i="31"/>
  <c r="J63" i="31"/>
  <c r="K63" i="31"/>
  <c r="L63" i="31"/>
  <c r="D64" i="31"/>
  <c r="E64" i="31"/>
  <c r="F64" i="31"/>
  <c r="G64" i="31"/>
  <c r="H64" i="31"/>
  <c r="I64" i="31"/>
  <c r="J64" i="31"/>
  <c r="K64" i="31"/>
  <c r="L64" i="31"/>
  <c r="D65" i="31"/>
  <c r="E65" i="31"/>
  <c r="F65" i="31"/>
  <c r="G65" i="31"/>
  <c r="H65" i="31"/>
  <c r="I65" i="31"/>
  <c r="J65" i="31"/>
  <c r="K65" i="31"/>
  <c r="L65" i="31"/>
  <c r="D66" i="31"/>
  <c r="E66" i="31"/>
  <c r="F66" i="31"/>
  <c r="G66" i="31"/>
  <c r="H66" i="31"/>
  <c r="I66" i="31"/>
  <c r="J66" i="31"/>
  <c r="K66" i="31"/>
  <c r="L66" i="31"/>
  <c r="D67" i="31"/>
  <c r="E67" i="31"/>
  <c r="F67" i="31"/>
  <c r="G67" i="31"/>
  <c r="H67" i="31"/>
  <c r="I67" i="31"/>
  <c r="J67" i="31"/>
  <c r="K67" i="31"/>
  <c r="L67" i="31"/>
  <c r="D68" i="31"/>
  <c r="E68" i="31"/>
  <c r="F68" i="31"/>
  <c r="G68" i="31"/>
  <c r="H68" i="31"/>
  <c r="I68" i="31"/>
  <c r="J68" i="31"/>
  <c r="K68" i="31"/>
  <c r="L68" i="31"/>
  <c r="D69" i="31"/>
  <c r="E69" i="31"/>
  <c r="F69" i="31"/>
  <c r="G69" i="31"/>
  <c r="H69" i="31"/>
  <c r="I69" i="31"/>
  <c r="J69" i="31"/>
  <c r="K69" i="31"/>
  <c r="L69" i="31"/>
  <c r="D70" i="31"/>
  <c r="E70" i="31"/>
  <c r="F70" i="31"/>
  <c r="G70" i="31"/>
  <c r="H70" i="31"/>
  <c r="I70" i="31"/>
  <c r="J70" i="31"/>
  <c r="K70" i="31"/>
  <c r="L70" i="31"/>
  <c r="D71" i="31"/>
  <c r="E71" i="31"/>
  <c r="F71" i="31"/>
  <c r="G71" i="31"/>
  <c r="H71" i="31"/>
  <c r="I71" i="31"/>
  <c r="J71" i="31"/>
  <c r="K71" i="31"/>
  <c r="L71" i="31"/>
  <c r="D72" i="31"/>
  <c r="E72" i="31"/>
  <c r="F72" i="31"/>
  <c r="G72" i="31"/>
  <c r="H72" i="31"/>
  <c r="I72" i="31"/>
  <c r="J72" i="31"/>
  <c r="K72" i="31"/>
  <c r="L72" i="31"/>
  <c r="D73" i="31"/>
  <c r="E73" i="31"/>
  <c r="F73" i="31"/>
  <c r="G73" i="31"/>
  <c r="H73" i="31"/>
  <c r="I73" i="31"/>
  <c r="J73" i="31"/>
  <c r="K73" i="31"/>
  <c r="L73" i="31"/>
  <c r="D74" i="31"/>
  <c r="E74" i="31"/>
  <c r="F74" i="31"/>
  <c r="G74" i="31"/>
  <c r="H74" i="31"/>
  <c r="I74" i="31"/>
  <c r="J74" i="31"/>
  <c r="K74" i="31"/>
  <c r="L74" i="31"/>
  <c r="D75" i="31"/>
  <c r="E75" i="31"/>
  <c r="F75" i="31"/>
  <c r="G75" i="31"/>
  <c r="H75" i="31"/>
  <c r="I75" i="31"/>
  <c r="J75" i="31"/>
  <c r="K75" i="31"/>
  <c r="L75" i="31"/>
  <c r="D76" i="31"/>
  <c r="E76" i="31"/>
  <c r="F76" i="31"/>
  <c r="G76" i="31"/>
  <c r="H76" i="31"/>
  <c r="I76" i="31"/>
  <c r="J76" i="31"/>
  <c r="K76" i="31"/>
  <c r="L76" i="31"/>
  <c r="D77" i="31"/>
  <c r="E77" i="31"/>
  <c r="F77" i="31"/>
  <c r="G77" i="31"/>
  <c r="H77" i="31"/>
  <c r="I77" i="31"/>
  <c r="J77" i="31"/>
  <c r="K77" i="31"/>
  <c r="L77" i="31"/>
  <c r="D78" i="31"/>
  <c r="E78" i="31"/>
  <c r="F78" i="31"/>
  <c r="G78" i="31"/>
  <c r="H78" i="31"/>
  <c r="I78" i="31"/>
  <c r="J78" i="31"/>
  <c r="K78" i="31"/>
  <c r="L78" i="31"/>
  <c r="D79" i="31"/>
  <c r="E79" i="31"/>
  <c r="F79" i="31"/>
  <c r="G79" i="31"/>
  <c r="H79" i="31"/>
  <c r="I79" i="31"/>
  <c r="J79" i="31"/>
  <c r="K79" i="31"/>
  <c r="L79" i="31"/>
  <c r="J38" i="31"/>
  <c r="K38" i="31"/>
  <c r="L38" i="31"/>
  <c r="I38" i="31"/>
  <c r="G38" i="31"/>
  <c r="H38" i="31"/>
  <c r="E38" i="31"/>
  <c r="F38" i="31"/>
  <c r="D38" i="31"/>
  <c r="C39" i="31"/>
  <c r="C40" i="31"/>
  <c r="C41" i="31"/>
  <c r="C42" i="31"/>
  <c r="C43" i="3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57" i="31"/>
  <c r="C58" i="31"/>
  <c r="C59" i="31"/>
  <c r="C60" i="31"/>
  <c r="C61" i="31"/>
  <c r="C62" i="31"/>
  <c r="C63" i="31"/>
  <c r="C64" i="31"/>
  <c r="C65" i="31"/>
  <c r="C66" i="31"/>
  <c r="C67" i="31"/>
  <c r="C68" i="31"/>
  <c r="C69" i="31"/>
  <c r="C70" i="31"/>
  <c r="C71" i="31"/>
  <c r="C72" i="31"/>
  <c r="C73" i="31"/>
  <c r="C74" i="31"/>
  <c r="C75" i="31"/>
  <c r="C76" i="31"/>
  <c r="C77" i="31"/>
  <c r="C78" i="31"/>
  <c r="C79" i="31"/>
  <c r="C38" i="31"/>
  <c r="D34" i="14"/>
  <c r="G20" i="65" l="1"/>
  <c r="G21" i="65" s="1"/>
  <c r="G22" i="65" s="1"/>
  <c r="G23" i="65" s="1"/>
  <c r="G24" i="65" s="1"/>
  <c r="G25" i="65" s="1"/>
  <c r="G26" i="65" s="1"/>
  <c r="G27" i="65" s="1"/>
  <c r="G28" i="65" s="1"/>
  <c r="G29" i="65" s="1"/>
  <c r="G30" i="65" s="1"/>
  <c r="G31" i="65" s="1"/>
  <c r="G32" i="65" s="1"/>
  <c r="G33" i="65" s="1"/>
  <c r="G34" i="65" s="1"/>
  <c r="G35" i="65" s="1"/>
  <c r="G36" i="65" s="1"/>
  <c r="H5" i="34"/>
  <c r="A16" i="35"/>
  <c r="A10" i="35"/>
  <c r="B80" i="72"/>
  <c r="E80" i="72" s="1"/>
  <c r="B79" i="72"/>
  <c r="E79" i="72" s="1"/>
  <c r="C9" i="35"/>
  <c r="C15" i="35"/>
  <c r="C16" i="35"/>
  <c r="C10" i="35"/>
  <c r="I44" i="65" l="1"/>
  <c r="K5" i="34"/>
  <c r="N5" i="34" s="1"/>
  <c r="H48" i="1"/>
  <c r="H47" i="1"/>
  <c r="H49" i="1" s="1"/>
  <c r="H44" i="1"/>
  <c r="H43" i="1"/>
  <c r="H45" i="1" s="1"/>
  <c r="H42" i="1"/>
  <c r="C59" i="72" s="1"/>
  <c r="E144" i="51"/>
  <c r="F144" i="51"/>
  <c r="G144" i="51"/>
  <c r="H144" i="51"/>
  <c r="I144" i="51"/>
  <c r="J144" i="51"/>
  <c r="K144" i="51"/>
  <c r="L144" i="51"/>
  <c r="M144" i="51"/>
  <c r="N142" i="51"/>
  <c r="E32" i="14" s="1"/>
  <c r="A142" i="51"/>
  <c r="D142" i="51"/>
  <c r="B32" i="14" s="1"/>
  <c r="D11" i="51"/>
  <c r="B37" i="14" s="1"/>
  <c r="D12" i="51"/>
  <c r="B38" i="14" s="1"/>
  <c r="D13" i="51"/>
  <c r="B39" i="14" s="1"/>
  <c r="D14" i="51"/>
  <c r="B40" i="14" s="1"/>
  <c r="D15" i="51"/>
  <c r="B41" i="14" s="1"/>
  <c r="D16" i="51"/>
  <c r="B42" i="14" s="1"/>
  <c r="D17" i="51"/>
  <c r="B43" i="14" s="1"/>
  <c r="D18" i="51"/>
  <c r="B44" i="14" s="1"/>
  <c r="D19" i="51"/>
  <c r="D20" i="51"/>
  <c r="B45" i="14" s="1"/>
  <c r="D21" i="51"/>
  <c r="B46" i="14" s="1"/>
  <c r="D22" i="51"/>
  <c r="B47" i="14" s="1"/>
  <c r="D23" i="51"/>
  <c r="B48" i="14" s="1"/>
  <c r="D24" i="51"/>
  <c r="B49" i="14" s="1"/>
  <c r="D25" i="51"/>
  <c r="B50" i="14" s="1"/>
  <c r="D26" i="51"/>
  <c r="B51" i="14" s="1"/>
  <c r="D27" i="51"/>
  <c r="B52" i="14" s="1"/>
  <c r="D28" i="51"/>
  <c r="B53" i="14" s="1"/>
  <c r="D29" i="51"/>
  <c r="B54" i="14" s="1"/>
  <c r="D30" i="51"/>
  <c r="B55" i="14" s="1"/>
  <c r="D31" i="51"/>
  <c r="B56" i="14" s="1"/>
  <c r="D32" i="51"/>
  <c r="B57" i="14" s="1"/>
  <c r="D33" i="51"/>
  <c r="B58" i="14" s="1"/>
  <c r="D34" i="51"/>
  <c r="B59" i="14" s="1"/>
  <c r="D35" i="51"/>
  <c r="B60" i="14" s="1"/>
  <c r="D36" i="51"/>
  <c r="B61" i="14" s="1"/>
  <c r="D37" i="51"/>
  <c r="B62" i="14" s="1"/>
  <c r="D38" i="51"/>
  <c r="B63" i="14" s="1"/>
  <c r="D39" i="51"/>
  <c r="B64" i="14" s="1"/>
  <c r="D40" i="51"/>
  <c r="B65" i="14" s="1"/>
  <c r="D41" i="51"/>
  <c r="B66" i="14" s="1"/>
  <c r="D42" i="51"/>
  <c r="B67" i="14" s="1"/>
  <c r="D43" i="51"/>
  <c r="D44" i="51"/>
  <c r="B68" i="14" s="1"/>
  <c r="D45" i="51"/>
  <c r="D46" i="51"/>
  <c r="B69" i="14" s="1"/>
  <c r="D47" i="51"/>
  <c r="D48" i="51"/>
  <c r="D49" i="51"/>
  <c r="D50" i="51"/>
  <c r="B70" i="14" s="1"/>
  <c r="D51" i="51"/>
  <c r="B71" i="14" s="1"/>
  <c r="D52" i="51"/>
  <c r="B72" i="14" s="1"/>
  <c r="D53" i="51"/>
  <c r="B73" i="14" s="1"/>
  <c r="D54" i="51"/>
  <c r="B74" i="14" s="1"/>
  <c r="D55" i="51"/>
  <c r="B75" i="14" s="1"/>
  <c r="D56" i="51"/>
  <c r="B76" i="14" s="1"/>
  <c r="D57" i="51"/>
  <c r="B77" i="14" s="1"/>
  <c r="D58" i="51"/>
  <c r="B78" i="14" s="1"/>
  <c r="D59" i="51"/>
  <c r="B79" i="14" s="1"/>
  <c r="D60" i="51"/>
  <c r="B80" i="14" s="1"/>
  <c r="D61" i="51"/>
  <c r="B81" i="14" s="1"/>
  <c r="D62" i="51"/>
  <c r="B82" i="14" s="1"/>
  <c r="D63" i="51"/>
  <c r="B83" i="14" s="1"/>
  <c r="D64" i="51"/>
  <c r="B84" i="14" s="1"/>
  <c r="D65" i="51"/>
  <c r="B85" i="14" s="1"/>
  <c r="D66" i="51"/>
  <c r="B86" i="14" s="1"/>
  <c r="D67" i="51"/>
  <c r="B87" i="14" s="1"/>
  <c r="D68" i="51"/>
  <c r="B17" i="14" s="1"/>
  <c r="D69" i="51"/>
  <c r="B88" i="14" s="1"/>
  <c r="D70" i="51"/>
  <c r="B89" i="14" s="1"/>
  <c r="D71" i="51"/>
  <c r="B90" i="14" s="1"/>
  <c r="D72" i="51"/>
  <c r="B91" i="14" s="1"/>
  <c r="D73" i="51"/>
  <c r="B28" i="14" s="1"/>
  <c r="D74" i="51"/>
  <c r="B92" i="14" s="1"/>
  <c r="D75" i="51"/>
  <c r="B93" i="14" s="1"/>
  <c r="D76" i="51"/>
  <c r="B94" i="14" s="1"/>
  <c r="D77" i="51"/>
  <c r="B95" i="14" s="1"/>
  <c r="D78" i="51"/>
  <c r="B96" i="14" s="1"/>
  <c r="D79" i="51"/>
  <c r="B97" i="14" s="1"/>
  <c r="D80" i="51"/>
  <c r="B98" i="14" s="1"/>
  <c r="D81" i="51"/>
  <c r="B99" i="14" s="1"/>
  <c r="D82" i="51"/>
  <c r="B100" i="14" s="1"/>
  <c r="D83" i="51"/>
  <c r="D84" i="51"/>
  <c r="B102" i="14" s="1"/>
  <c r="D85" i="51"/>
  <c r="B103" i="14" s="1"/>
  <c r="D86" i="51"/>
  <c r="B104" i="14" s="1"/>
  <c r="D87" i="51"/>
  <c r="B18" i="14" s="1"/>
  <c r="D88" i="51"/>
  <c r="B105" i="14" s="1"/>
  <c r="D89" i="51"/>
  <c r="B106" i="14" s="1"/>
  <c r="D90" i="51"/>
  <c r="B107" i="14" s="1"/>
  <c r="D91" i="51"/>
  <c r="B108" i="14" s="1"/>
  <c r="D92" i="51"/>
  <c r="B109" i="14" s="1"/>
  <c r="D93" i="51"/>
  <c r="B110" i="14" s="1"/>
  <c r="D94" i="51"/>
  <c r="B111" i="14" s="1"/>
  <c r="D95" i="51"/>
  <c r="B112" i="14" s="1"/>
  <c r="D96" i="51"/>
  <c r="B113" i="14" s="1"/>
  <c r="D97" i="51"/>
  <c r="B114" i="14" s="1"/>
  <c r="D98" i="51"/>
  <c r="B115" i="14" s="1"/>
  <c r="D99" i="51"/>
  <c r="B116" i="14" s="1"/>
  <c r="D100" i="51"/>
  <c r="B117" i="14" s="1"/>
  <c r="D101" i="51"/>
  <c r="B19" i="14" s="1"/>
  <c r="D102" i="51"/>
  <c r="B29" i="14" s="1"/>
  <c r="D103" i="51"/>
  <c r="B118" i="14" s="1"/>
  <c r="D104" i="51"/>
  <c r="B119" i="14" s="1"/>
  <c r="D105" i="51"/>
  <c r="B120" i="14" s="1"/>
  <c r="D106" i="51"/>
  <c r="B121" i="14" s="1"/>
  <c r="D107" i="51"/>
  <c r="B122" i="14" s="1"/>
  <c r="D108" i="51"/>
  <c r="B123" i="14" s="1"/>
  <c r="D109" i="51"/>
  <c r="B124" i="14" s="1"/>
  <c r="D110" i="51"/>
  <c r="B125" i="14" s="1"/>
  <c r="D111" i="51"/>
  <c r="B126" i="14" s="1"/>
  <c r="D112" i="51"/>
  <c r="B127" i="14" s="1"/>
  <c r="D113" i="51"/>
  <c r="B128" i="14" s="1"/>
  <c r="D114" i="51"/>
  <c r="B129" i="14" s="1"/>
  <c r="D115" i="51"/>
  <c r="B130" i="14" s="1"/>
  <c r="D116" i="51"/>
  <c r="B131" i="14" s="1"/>
  <c r="D117" i="51"/>
  <c r="B132" i="14" s="1"/>
  <c r="D118" i="51"/>
  <c r="B133" i="14" s="1"/>
  <c r="D119" i="51"/>
  <c r="B134" i="14" s="1"/>
  <c r="D120" i="51"/>
  <c r="B31" i="14" s="1"/>
  <c r="D121" i="51"/>
  <c r="B30" i="14" s="1"/>
  <c r="D122" i="51"/>
  <c r="B135" i="14" s="1"/>
  <c r="D123" i="51"/>
  <c r="B136" i="14" s="1"/>
  <c r="D124" i="51"/>
  <c r="B137" i="14" s="1"/>
  <c r="D125" i="51"/>
  <c r="B138" i="14" s="1"/>
  <c r="D126" i="51"/>
  <c r="D127" i="51"/>
  <c r="B140" i="14" s="1"/>
  <c r="D128" i="51"/>
  <c r="B141" i="14" s="1"/>
  <c r="D129" i="51"/>
  <c r="B142" i="14" s="1"/>
  <c r="D130" i="51"/>
  <c r="B143" i="14" s="1"/>
  <c r="D131" i="51"/>
  <c r="B144" i="14" s="1"/>
  <c r="D132" i="51"/>
  <c r="B145" i="14" s="1"/>
  <c r="D133" i="51"/>
  <c r="B146" i="14" s="1"/>
  <c r="D134" i="51"/>
  <c r="B147" i="14" s="1"/>
  <c r="D135" i="51"/>
  <c r="B148" i="14" s="1"/>
  <c r="D136" i="51"/>
  <c r="B149" i="14" s="1"/>
  <c r="D137" i="51"/>
  <c r="B150" i="14" s="1"/>
  <c r="D138" i="51"/>
  <c r="B151" i="14" s="1"/>
  <c r="D139" i="51"/>
  <c r="B152" i="14" s="1"/>
  <c r="D140" i="51"/>
  <c r="B153" i="14" s="1"/>
  <c r="D141" i="51"/>
  <c r="B20" i="14" s="1"/>
  <c r="B52" i="65" l="1"/>
  <c r="B139" i="14"/>
  <c r="C88" i="55"/>
  <c r="B101" i="14"/>
  <c r="C22" i="55"/>
  <c r="A166" i="42"/>
  <c r="C43" i="55"/>
  <c r="A180" i="42"/>
  <c r="C64" i="55"/>
  <c r="F134" i="42"/>
  <c r="C82" i="55"/>
  <c r="A133" i="42"/>
  <c r="C23" i="55"/>
  <c r="F109" i="42"/>
  <c r="C58" i="55"/>
  <c r="A99" i="42"/>
  <c r="F78" i="42"/>
  <c r="C12" i="55"/>
  <c r="F58" i="42"/>
  <c r="C41" i="55"/>
  <c r="F53" i="42"/>
  <c r="C104" i="55"/>
  <c r="A53" i="42"/>
  <c r="C16" i="55"/>
  <c r="A13" i="42"/>
  <c r="C31" i="55"/>
  <c r="F22" i="42"/>
  <c r="C30" i="55"/>
  <c r="A30" i="42"/>
  <c r="C103" i="55"/>
  <c r="A33" i="42"/>
  <c r="C92" i="55"/>
  <c r="A18" i="42"/>
  <c r="C96" i="55"/>
  <c r="A161" i="42"/>
  <c r="C139" i="55"/>
  <c r="F161" i="42"/>
  <c r="C84" i="55"/>
  <c r="A176" i="42"/>
  <c r="C83" i="55"/>
  <c r="A172" i="42"/>
  <c r="C142" i="55"/>
  <c r="A164" i="42"/>
  <c r="C28" i="55"/>
  <c r="A140" i="42"/>
  <c r="C76" i="55"/>
  <c r="A146" i="42"/>
  <c r="C99" i="55"/>
  <c r="A143" i="42"/>
  <c r="C116" i="55"/>
  <c r="A137" i="42"/>
  <c r="C27" i="55"/>
  <c r="A149" i="42"/>
  <c r="C69" i="55"/>
  <c r="F110" i="42"/>
  <c r="C67" i="55"/>
  <c r="F113" i="42"/>
  <c r="C74" i="55"/>
  <c r="A115" i="42"/>
  <c r="C73" i="55"/>
  <c r="A92" i="42"/>
  <c r="C48" i="55"/>
  <c r="F82" i="42"/>
  <c r="C109" i="55"/>
  <c r="A95" i="42"/>
  <c r="C24" i="55"/>
  <c r="A83" i="42"/>
  <c r="C113" i="55"/>
  <c r="F60" i="42"/>
  <c r="C18" i="55"/>
  <c r="A55" i="42"/>
  <c r="C21" i="55"/>
  <c r="F56" i="42"/>
  <c r="C115" i="55"/>
  <c r="A62" i="42"/>
  <c r="C107" i="55"/>
  <c r="A58" i="42"/>
  <c r="C77" i="55"/>
  <c r="A52" i="42"/>
  <c r="C15" i="55"/>
  <c r="A38" i="42"/>
  <c r="C94" i="55"/>
  <c r="A21" i="42"/>
  <c r="C81" i="55"/>
  <c r="F21" i="42"/>
  <c r="C63" i="55"/>
  <c r="F9" i="42"/>
  <c r="C93" i="55"/>
  <c r="F17" i="42"/>
  <c r="C86" i="55"/>
  <c r="A42" i="42"/>
  <c r="C130" i="55"/>
  <c r="A36" i="42"/>
  <c r="C14" i="55"/>
  <c r="A29" i="42"/>
  <c r="C122" i="55"/>
  <c r="A17" i="42"/>
  <c r="C54" i="55"/>
  <c r="A12" i="42"/>
  <c r="O11" i="55"/>
  <c r="C114" i="55"/>
  <c r="F163" i="42"/>
  <c r="C131" i="55"/>
  <c r="A169" i="42"/>
  <c r="C120" i="55"/>
  <c r="A142" i="42"/>
  <c r="C56" i="55"/>
  <c r="F115" i="42"/>
  <c r="C138" i="55"/>
  <c r="F81" i="42"/>
  <c r="C50" i="55"/>
  <c r="F57" i="42"/>
  <c r="C108" i="55"/>
  <c r="A54" i="42"/>
  <c r="C26" i="55"/>
  <c r="A25" i="42"/>
  <c r="C61" i="55"/>
  <c r="F10" i="42"/>
  <c r="C111" i="55"/>
  <c r="F24" i="42"/>
  <c r="C128" i="55"/>
  <c r="A39" i="42"/>
  <c r="C59" i="55"/>
  <c r="A14" i="42"/>
  <c r="C60" i="55"/>
  <c r="A181" i="42"/>
  <c r="C135" i="55"/>
  <c r="A171" i="42"/>
  <c r="C89" i="55"/>
  <c r="A165" i="42"/>
  <c r="C117" i="55"/>
  <c r="F133" i="42"/>
  <c r="C127" i="55"/>
  <c r="A145" i="42"/>
  <c r="C137" i="55"/>
  <c r="A141" i="42"/>
  <c r="C126" i="55"/>
  <c r="A136" i="42"/>
  <c r="C52" i="55"/>
  <c r="A150" i="42"/>
  <c r="C75" i="55"/>
  <c r="F116" i="42"/>
  <c r="C129" i="55"/>
  <c r="F112" i="42"/>
  <c r="C65" i="55"/>
  <c r="A116" i="42"/>
  <c r="C25" i="55"/>
  <c r="A88" i="42"/>
  <c r="C40" i="55"/>
  <c r="A91" i="42"/>
  <c r="C136" i="55"/>
  <c r="A80" i="42"/>
  <c r="C141" i="55"/>
  <c r="F55" i="42"/>
  <c r="C33" i="55"/>
  <c r="F61" i="42"/>
  <c r="C29" i="55"/>
  <c r="F59" i="42"/>
  <c r="C39" i="55"/>
  <c r="A61" i="42"/>
  <c r="C70" i="55"/>
  <c r="A57" i="42"/>
  <c r="C79" i="55"/>
  <c r="A43" i="42"/>
  <c r="C36" i="55"/>
  <c r="F29" i="42"/>
  <c r="C20" i="55"/>
  <c r="F16" i="42"/>
  <c r="C47" i="55"/>
  <c r="A24" i="42"/>
  <c r="C34" i="55"/>
  <c r="F11" i="42"/>
  <c r="C37" i="55"/>
  <c r="F18" i="42"/>
  <c r="C124" i="55"/>
  <c r="A41" i="42"/>
  <c r="C85" i="55"/>
  <c r="A35" i="42"/>
  <c r="C10" i="55"/>
  <c r="A28" i="42"/>
  <c r="C134" i="55"/>
  <c r="A16" i="42"/>
  <c r="C55" i="55"/>
  <c r="A19" i="42"/>
  <c r="C90" i="55"/>
  <c r="A168" i="42"/>
  <c r="C13" i="55"/>
  <c r="A151" i="42"/>
  <c r="C100" i="55"/>
  <c r="A138" i="42"/>
  <c r="C19" i="55"/>
  <c r="F111" i="42"/>
  <c r="C71" i="55"/>
  <c r="A108" i="42"/>
  <c r="C123" i="55"/>
  <c r="A84" i="42"/>
  <c r="C112" i="55"/>
  <c r="A65" i="42"/>
  <c r="C110" i="55"/>
  <c r="F165" i="42"/>
  <c r="C53" i="55"/>
  <c r="A175" i="42"/>
  <c r="C72" i="55"/>
  <c r="F164" i="42"/>
  <c r="C80" i="55"/>
  <c r="A182" i="42"/>
  <c r="C35" i="55"/>
  <c r="A177" i="42"/>
  <c r="C133" i="55"/>
  <c r="A170" i="42"/>
  <c r="C45" i="55"/>
  <c r="A167" i="42"/>
  <c r="C62" i="55"/>
  <c r="A134" i="42"/>
  <c r="C121" i="55"/>
  <c r="A144" i="42"/>
  <c r="C87" i="55"/>
  <c r="A139" i="42"/>
  <c r="C91" i="55"/>
  <c r="A135" i="42"/>
  <c r="C17" i="55"/>
  <c r="A114" i="42"/>
  <c r="C132" i="55"/>
  <c r="F114" i="42"/>
  <c r="C78" i="55"/>
  <c r="F108" i="42"/>
  <c r="C118" i="55"/>
  <c r="A111" i="42"/>
  <c r="C44" i="55"/>
  <c r="A79" i="42"/>
  <c r="C119" i="55"/>
  <c r="B8" i="65"/>
  <c r="A98" i="42"/>
  <c r="C68" i="55"/>
  <c r="A87" i="42"/>
  <c r="C49" i="55"/>
  <c r="A78" i="42"/>
  <c r="C105" i="55"/>
  <c r="F54" i="42"/>
  <c r="C57" i="55"/>
  <c r="F52" i="42"/>
  <c r="C66" i="55"/>
  <c r="A64" i="42"/>
  <c r="C46" i="55"/>
  <c r="A63" i="42"/>
  <c r="C125" i="55"/>
  <c r="A56" i="42"/>
  <c r="C106" i="55"/>
  <c r="F23" i="42"/>
  <c r="C95" i="55"/>
  <c r="F28" i="42"/>
  <c r="C101" i="55"/>
  <c r="F25" i="42"/>
  <c r="C42" i="55"/>
  <c r="F12" i="42"/>
  <c r="C38" i="55"/>
  <c r="A37" i="42"/>
  <c r="C32" i="55"/>
  <c r="F15" i="42"/>
  <c r="C98" i="55"/>
  <c r="A40" i="42"/>
  <c r="C102" i="55"/>
  <c r="A34" i="42"/>
  <c r="C51" i="55"/>
  <c r="A20" i="42"/>
  <c r="C140" i="55"/>
  <c r="A15" i="42"/>
  <c r="C11" i="55"/>
  <c r="F162" i="42"/>
  <c r="I45" i="65"/>
  <c r="I46" i="65"/>
  <c r="C32" i="72"/>
  <c r="H51" i="1"/>
  <c r="P142" i="51"/>
  <c r="Q11" i="55" s="1"/>
  <c r="E59" i="72"/>
  <c r="D59" i="72"/>
  <c r="O142" i="51"/>
  <c r="P11" i="55" s="1"/>
  <c r="F59" i="72"/>
  <c r="G59" i="72"/>
  <c r="Q18" i="23"/>
  <c r="E24" i="23" s="1"/>
  <c r="R18" i="23"/>
  <c r="H24" i="23" s="1"/>
  <c r="S8" i="23"/>
  <c r="S9" i="23"/>
  <c r="S10" i="23"/>
  <c r="S11" i="23"/>
  <c r="S12" i="23"/>
  <c r="S13" i="23"/>
  <c r="S14" i="23"/>
  <c r="S15" i="23"/>
  <c r="S16" i="23"/>
  <c r="S17" i="23"/>
  <c r="D28" i="21"/>
  <c r="E28" i="21"/>
  <c r="F28" i="21"/>
  <c r="G28" i="21"/>
  <c r="H28" i="21"/>
  <c r="I28" i="21"/>
  <c r="J28" i="21"/>
  <c r="K28" i="21"/>
  <c r="L28" i="21"/>
  <c r="M28" i="21"/>
  <c r="C28" i="21"/>
  <c r="B28" i="21"/>
  <c r="N28" i="21" l="1"/>
  <c r="F32" i="72"/>
  <c r="D32" i="72"/>
  <c r="E32" i="72"/>
  <c r="G32" i="72"/>
  <c r="L50" i="23"/>
  <c r="D50" i="23"/>
  <c r="L49" i="23"/>
  <c r="K49" i="23"/>
  <c r="D49" i="23"/>
  <c r="L48" i="23"/>
  <c r="K48" i="23"/>
  <c r="G48" i="23"/>
  <c r="D48" i="23"/>
  <c r="M48" i="23" l="1"/>
  <c r="I9" i="28" l="1"/>
  <c r="I10" i="28"/>
  <c r="I13" i="28"/>
  <c r="I14" i="28"/>
  <c r="I17" i="28"/>
  <c r="E10" i="28"/>
  <c r="E18" i="28"/>
  <c r="I18" i="28"/>
  <c r="E14" i="28"/>
  <c r="I13" i="21"/>
  <c r="I14" i="21"/>
  <c r="I15" i="21"/>
  <c r="I16" i="21"/>
  <c r="I17" i="21"/>
  <c r="E15" i="21"/>
  <c r="E16" i="21"/>
  <c r="E17" i="21"/>
  <c r="E17" i="28" l="1"/>
  <c r="E13" i="28"/>
  <c r="E9" i="28"/>
  <c r="E15" i="28"/>
  <c r="E11" i="28"/>
  <c r="I15" i="28"/>
  <c r="I12" i="28"/>
  <c r="I11" i="28"/>
  <c r="I16" i="28"/>
  <c r="E16" i="28"/>
  <c r="E12" i="28"/>
  <c r="E7" i="28"/>
  <c r="E8" i="28" l="1"/>
  <c r="C73" i="60"/>
  <c r="J77" i="60"/>
  <c r="B73" i="60"/>
  <c r="E63" i="60"/>
  <c r="E64" i="60"/>
  <c r="E65" i="60"/>
  <c r="E66" i="60"/>
  <c r="E67" i="60"/>
  <c r="E68" i="60"/>
  <c r="E69" i="60"/>
  <c r="E70" i="60"/>
  <c r="E71" i="60"/>
  <c r="E72" i="60"/>
  <c r="E62" i="60"/>
  <c r="E61" i="60"/>
  <c r="E73" i="60" s="1"/>
  <c r="H7" i="60"/>
  <c r="H8" i="60"/>
  <c r="H9" i="60"/>
  <c r="H10" i="60"/>
  <c r="H11" i="60"/>
  <c r="H12" i="60"/>
  <c r="H13" i="60"/>
  <c r="H14" i="60"/>
  <c r="H15" i="60"/>
  <c r="H4" i="60"/>
  <c r="H16" i="60" s="1"/>
  <c r="N36" i="60"/>
  <c r="N49" i="60"/>
  <c r="I74" i="60" l="1"/>
  <c r="G74" i="60"/>
  <c r="D74" i="60"/>
  <c r="E74" i="60"/>
  <c r="F74" i="60"/>
  <c r="H74" i="60"/>
  <c r="C74" i="60"/>
  <c r="G36" i="21"/>
  <c r="E49" i="60"/>
  <c r="F49" i="60"/>
  <c r="J44" i="60"/>
  <c r="K44" i="60"/>
  <c r="L44" i="60"/>
  <c r="J45" i="60"/>
  <c r="K45" i="60"/>
  <c r="L45" i="60"/>
  <c r="J46" i="60"/>
  <c r="K46" i="60"/>
  <c r="L46" i="60"/>
  <c r="G44" i="60"/>
  <c r="G45" i="60"/>
  <c r="G46" i="60"/>
  <c r="D44" i="60"/>
  <c r="D45" i="60"/>
  <c r="D46" i="60"/>
  <c r="C49" i="60"/>
  <c r="I49" i="60"/>
  <c r="B49" i="60"/>
  <c r="C17" i="60"/>
  <c r="D17" i="60"/>
  <c r="E17" i="60"/>
  <c r="F17" i="60"/>
  <c r="G17" i="60"/>
  <c r="B17" i="60"/>
  <c r="D48" i="60" l="1"/>
  <c r="D49" i="60" s="1"/>
  <c r="J48" i="60"/>
  <c r="J49" i="60" s="1"/>
  <c r="H49" i="60"/>
  <c r="G48" i="60"/>
  <c r="G49" i="60" s="1"/>
  <c r="L48" i="60"/>
  <c r="L49" i="60" s="1"/>
  <c r="K48" i="60"/>
  <c r="K49" i="60" s="1"/>
  <c r="M46" i="60"/>
  <c r="O46" i="60" s="1"/>
  <c r="M45" i="60"/>
  <c r="O45" i="60" s="1"/>
  <c r="M44" i="60"/>
  <c r="O44" i="60" s="1"/>
  <c r="G50" i="66"/>
  <c r="E51" i="66"/>
  <c r="F51" i="66"/>
  <c r="G51" i="66"/>
  <c r="D51" i="66"/>
  <c r="C51" i="66"/>
  <c r="C50" i="66"/>
  <c r="L38" i="16"/>
  <c r="K38" i="16"/>
  <c r="J38" i="16"/>
  <c r="I38" i="16"/>
  <c r="H38" i="16"/>
  <c r="G38" i="16"/>
  <c r="F38" i="16"/>
  <c r="E38" i="16"/>
  <c r="D38" i="16"/>
  <c r="C38" i="16"/>
  <c r="C17" i="16"/>
  <c r="D17" i="16"/>
  <c r="E17" i="16"/>
  <c r="F17" i="16"/>
  <c r="G17" i="16"/>
  <c r="H17" i="16"/>
  <c r="I17" i="16"/>
  <c r="J17" i="16"/>
  <c r="K17" i="16"/>
  <c r="L17" i="16"/>
  <c r="I50" i="60" l="1"/>
  <c r="C50" i="60"/>
  <c r="F50" i="60"/>
  <c r="H50" i="60"/>
  <c r="B50" i="60"/>
  <c r="E50" i="60"/>
  <c r="M48" i="60"/>
  <c r="O48" i="60" s="1"/>
  <c r="M26" i="16"/>
  <c r="M5" i="16"/>
  <c r="M16" i="16"/>
  <c r="M15" i="16"/>
  <c r="M14" i="16"/>
  <c r="M13" i="16"/>
  <c r="M12" i="16"/>
  <c r="M11" i="16"/>
  <c r="M10" i="16"/>
  <c r="M9" i="16"/>
  <c r="M8" i="16"/>
  <c r="M7" i="16"/>
  <c r="M6" i="16"/>
  <c r="M37" i="16"/>
  <c r="M36" i="16"/>
  <c r="M35" i="16"/>
  <c r="M34" i="16"/>
  <c r="M33" i="16"/>
  <c r="M32" i="16"/>
  <c r="M31" i="16"/>
  <c r="M30" i="16"/>
  <c r="M29" i="16"/>
  <c r="M28" i="16"/>
  <c r="M27" i="16"/>
  <c r="F36" i="13"/>
  <c r="G36" i="13"/>
  <c r="D262" i="31"/>
  <c r="E245" i="31"/>
  <c r="F245" i="31"/>
  <c r="G245" i="31"/>
  <c r="H245" i="31"/>
  <c r="I245" i="31"/>
  <c r="J245" i="31"/>
  <c r="K245" i="31"/>
  <c r="L245" i="31"/>
  <c r="M245" i="31"/>
  <c r="N245" i="31"/>
  <c r="O245" i="31"/>
  <c r="D245" i="31"/>
  <c r="O34" i="16" l="1"/>
  <c r="O30" i="16"/>
  <c r="O26" i="16"/>
  <c r="O35" i="16"/>
  <c r="O28" i="16"/>
  <c r="O27" i="16"/>
  <c r="O33" i="16"/>
  <c r="O29" i="16"/>
  <c r="O32" i="16"/>
  <c r="O31" i="16"/>
  <c r="O36" i="16"/>
  <c r="M17" i="16"/>
  <c r="B18" i="16" s="1"/>
  <c r="P5" i="16" s="1"/>
  <c r="O12" i="16"/>
  <c r="O8" i="16"/>
  <c r="O14" i="16"/>
  <c r="O6" i="16"/>
  <c r="O13" i="16"/>
  <c r="O5" i="16"/>
  <c r="O15" i="16"/>
  <c r="O11" i="16"/>
  <c r="O7" i="16"/>
  <c r="O10" i="16"/>
  <c r="O9" i="16"/>
  <c r="J247" i="31"/>
  <c r="H262" i="31"/>
  <c r="F262" i="31"/>
  <c r="E262" i="31"/>
  <c r="M49" i="60"/>
  <c r="O49" i="60" s="1"/>
  <c r="M38" i="16"/>
  <c r="G262" i="31"/>
  <c r="J263" i="31"/>
  <c r="G263" i="31"/>
  <c r="K262" i="31"/>
  <c r="G247" i="31"/>
  <c r="E246" i="31"/>
  <c r="J246" i="31"/>
  <c r="F246" i="31"/>
  <c r="J262" i="31"/>
  <c r="H246" i="31"/>
  <c r="G246" i="31"/>
  <c r="D246" i="31"/>
  <c r="G58" i="58"/>
  <c r="G61" i="58"/>
  <c r="G59" i="58"/>
  <c r="G57" i="58"/>
  <c r="G53" i="58"/>
  <c r="I262" i="31" l="1"/>
  <c r="B39" i="16"/>
  <c r="P26" i="16" s="1"/>
  <c r="J39" i="16"/>
  <c r="H39" i="16"/>
  <c r="E39" i="16"/>
  <c r="F39" i="16"/>
  <c r="G39" i="16"/>
  <c r="C39" i="16"/>
  <c r="P27" i="16" s="1"/>
  <c r="L39" i="16"/>
  <c r="I39" i="16"/>
  <c r="K39" i="16"/>
  <c r="P35" i="16" s="1"/>
  <c r="D39" i="16"/>
  <c r="P28" i="16" s="1"/>
  <c r="L50" i="60"/>
  <c r="H51" i="60"/>
  <c r="E51" i="60"/>
  <c r="K50" i="60"/>
  <c r="B51" i="60"/>
  <c r="P31" i="16"/>
  <c r="P34" i="16"/>
  <c r="P36" i="16"/>
  <c r="P29" i="16"/>
  <c r="P33" i="16"/>
  <c r="P30" i="16"/>
  <c r="P32" i="16"/>
  <c r="G18" i="16"/>
  <c r="P10" i="16" s="1"/>
  <c r="L18" i="16"/>
  <c r="P15" i="16" s="1"/>
  <c r="H18" i="16"/>
  <c r="P11" i="16" s="1"/>
  <c r="K18" i="16"/>
  <c r="P14" i="16" s="1"/>
  <c r="C18" i="16"/>
  <c r="P6" i="16" s="1"/>
  <c r="J18" i="16"/>
  <c r="P13" i="16" s="1"/>
  <c r="D18" i="16"/>
  <c r="P7" i="16" s="1"/>
  <c r="E18" i="16"/>
  <c r="P8" i="16" s="1"/>
  <c r="I18" i="16"/>
  <c r="P12" i="16" s="1"/>
  <c r="F18" i="16"/>
  <c r="P9" i="16" s="1"/>
  <c r="M262" i="31"/>
  <c r="L262" i="31"/>
  <c r="E263" i="31"/>
  <c r="E247" i="31"/>
  <c r="M246" i="31"/>
  <c r="I246" i="31"/>
  <c r="K246" i="31"/>
  <c r="B63" i="58"/>
  <c r="C63" i="58"/>
  <c r="D63" i="58"/>
  <c r="E63" i="58"/>
  <c r="H42" i="58"/>
  <c r="H43" i="58"/>
  <c r="H44" i="58"/>
  <c r="H45" i="58"/>
  <c r="H46" i="58"/>
  <c r="H47" i="58"/>
  <c r="H48" i="58"/>
  <c r="H49" i="58"/>
  <c r="H50" i="58"/>
  <c r="H51" i="58"/>
  <c r="H52" i="58"/>
  <c r="H41" i="58"/>
  <c r="D53" i="58"/>
  <c r="E53" i="58"/>
  <c r="F53" i="58"/>
  <c r="C53" i="58"/>
  <c r="B53" i="58"/>
  <c r="C33" i="15"/>
  <c r="I33" i="15" s="1"/>
  <c r="D33" i="15"/>
  <c r="E33" i="15"/>
  <c r="F33" i="15"/>
  <c r="M50" i="60" l="1"/>
  <c r="K51" i="60"/>
  <c r="M18" i="16"/>
  <c r="M39" i="16"/>
  <c r="L246" i="31"/>
  <c r="G63" i="58"/>
  <c r="H61" i="58" s="1"/>
  <c r="H53" i="58"/>
  <c r="M69" i="16"/>
  <c r="M68" i="16"/>
  <c r="M67" i="16"/>
  <c r="M66" i="16"/>
  <c r="D21" i="8"/>
  <c r="E21" i="8"/>
  <c r="D22" i="8"/>
  <c r="E22" i="8"/>
  <c r="D23" i="8"/>
  <c r="E23" i="8"/>
  <c r="D24" i="8"/>
  <c r="E24" i="8"/>
  <c r="D25" i="8"/>
  <c r="E25" i="8"/>
  <c r="D26" i="8"/>
  <c r="E26" i="8"/>
  <c r="D27" i="8"/>
  <c r="E27" i="8"/>
  <c r="D28" i="8"/>
  <c r="E28" i="8"/>
  <c r="D29" i="8"/>
  <c r="E29" i="8"/>
  <c r="D30" i="8"/>
  <c r="E30" i="8"/>
  <c r="D31" i="8"/>
  <c r="E31" i="8"/>
  <c r="E20" i="8"/>
  <c r="D20" i="8"/>
  <c r="C32" i="8"/>
  <c r="B32" i="8"/>
  <c r="D7" i="8"/>
  <c r="B7" i="8"/>
  <c r="C47" i="66"/>
  <c r="D47" i="66"/>
  <c r="D48" i="66" s="1"/>
  <c r="E47" i="66"/>
  <c r="F47" i="66"/>
  <c r="G48" i="66" s="1"/>
  <c r="A47" i="66"/>
  <c r="B30" i="66"/>
  <c r="E37" i="66"/>
  <c r="G46" i="65"/>
  <c r="H46" i="65"/>
  <c r="G45" i="65"/>
  <c r="E46" i="65"/>
  <c r="F46" i="65"/>
  <c r="D46" i="65"/>
  <c r="F45" i="65"/>
  <c r="E45" i="65"/>
  <c r="D45" i="65"/>
  <c r="C45" i="65"/>
  <c r="C46" i="65"/>
  <c r="D54" i="58" l="1"/>
  <c r="H72" i="16"/>
  <c r="E32" i="8"/>
  <c r="D32" i="8"/>
  <c r="C48" i="66"/>
  <c r="E48" i="66"/>
  <c r="H58" i="58"/>
  <c r="H62" i="58"/>
  <c r="H57" i="58"/>
  <c r="H59" i="58"/>
  <c r="F48" i="66"/>
  <c r="H63" i="58"/>
  <c r="H60" i="58"/>
  <c r="G54" i="58"/>
  <c r="B54" i="58"/>
  <c r="C54" i="58"/>
  <c r="E54" i="58"/>
  <c r="F54" i="58"/>
  <c r="N63" i="42"/>
  <c r="M63" i="42"/>
  <c r="G45" i="1"/>
  <c r="F45" i="1"/>
  <c r="E45" i="1"/>
  <c r="D45" i="1"/>
  <c r="C45" i="1"/>
  <c r="C51" i="1" s="1"/>
  <c r="G49" i="1"/>
  <c r="H50" i="1" s="1"/>
  <c r="F49" i="1"/>
  <c r="E49" i="1"/>
  <c r="D49" i="1"/>
  <c r="C49" i="1"/>
  <c r="J72" i="16" l="1"/>
  <c r="L72" i="16"/>
  <c r="G51" i="1"/>
  <c r="H52" i="1" s="1"/>
  <c r="H46" i="1"/>
  <c r="K72" i="16"/>
  <c r="G72" i="16"/>
  <c r="F50" i="1"/>
  <c r="E46" i="1"/>
  <c r="I72" i="16"/>
  <c r="D72" i="16"/>
  <c r="E72" i="16"/>
  <c r="M72" i="16"/>
  <c r="F46" i="1"/>
  <c r="G50" i="1"/>
  <c r="D46" i="1"/>
  <c r="D50" i="1"/>
  <c r="E50" i="1"/>
  <c r="F72" i="16"/>
  <c r="C72" i="16"/>
  <c r="H54" i="58"/>
  <c r="G46" i="1"/>
  <c r="F51" i="1"/>
  <c r="E51" i="1"/>
  <c r="D51" i="1"/>
  <c r="D52" i="1" s="1"/>
  <c r="F52" i="1" l="1"/>
  <c r="E52" i="1"/>
  <c r="G52" i="1"/>
  <c r="O25" i="60" l="1"/>
  <c r="O26" i="60"/>
  <c r="O24" i="60"/>
  <c r="C168" i="73" l="1"/>
  <c r="D168" i="73"/>
  <c r="E168" i="73"/>
  <c r="F168" i="73"/>
  <c r="G168" i="73"/>
  <c r="H168" i="73"/>
  <c r="I168" i="73"/>
  <c r="J168" i="73"/>
  <c r="K168" i="73"/>
  <c r="L168" i="73"/>
  <c r="M168" i="73"/>
  <c r="B168" i="73"/>
  <c r="N167" i="73"/>
  <c r="N166" i="73"/>
  <c r="N165" i="73"/>
  <c r="N164" i="73"/>
  <c r="N163" i="73"/>
  <c r="N162" i="73"/>
  <c r="N154" i="73"/>
  <c r="N148" i="73"/>
  <c r="N147" i="73"/>
  <c r="M157" i="73"/>
  <c r="L157" i="73"/>
  <c r="K157" i="73"/>
  <c r="J157" i="73"/>
  <c r="I157" i="73"/>
  <c r="H157" i="73"/>
  <c r="D157" i="73"/>
  <c r="B157" i="73"/>
  <c r="N156" i="73"/>
  <c r="N155" i="73"/>
  <c r="N151" i="73"/>
  <c r="N150" i="73"/>
  <c r="N149" i="73"/>
  <c r="N146" i="73"/>
  <c r="N145" i="73"/>
  <c r="N126" i="73"/>
  <c r="N127" i="73"/>
  <c r="N128" i="73"/>
  <c r="N129" i="73"/>
  <c r="N130" i="73"/>
  <c r="N131" i="73"/>
  <c r="N132" i="73"/>
  <c r="N133" i="73"/>
  <c r="N134" i="73"/>
  <c r="N135" i="73"/>
  <c r="N136" i="73"/>
  <c r="N137" i="73"/>
  <c r="N138" i="73"/>
  <c r="N139" i="73"/>
  <c r="N125" i="73"/>
  <c r="B140" i="73"/>
  <c r="H17" i="60" l="1"/>
  <c r="N168" i="73"/>
  <c r="N153" i="73"/>
  <c r="N152" i="73"/>
  <c r="G157" i="73"/>
  <c r="F157" i="73"/>
  <c r="E157" i="73"/>
  <c r="C157" i="73"/>
  <c r="N140" i="73"/>
  <c r="C140" i="73"/>
  <c r="D140" i="73"/>
  <c r="E140" i="73"/>
  <c r="F140" i="73"/>
  <c r="G140" i="73"/>
  <c r="H140" i="73"/>
  <c r="I140" i="73"/>
  <c r="J140" i="73"/>
  <c r="K140" i="73"/>
  <c r="L140" i="73"/>
  <c r="M140" i="73"/>
  <c r="N157" i="73" l="1"/>
  <c r="F88" i="73"/>
  <c r="E88" i="73"/>
  <c r="G88" i="73" s="1"/>
  <c r="F87" i="73"/>
  <c r="E87" i="73"/>
  <c r="F86" i="73"/>
  <c r="E86" i="73"/>
  <c r="G86" i="73" s="1"/>
  <c r="F85" i="73"/>
  <c r="E85" i="73"/>
  <c r="F84" i="73"/>
  <c r="E84" i="73"/>
  <c r="G84" i="73" s="1"/>
  <c r="F83" i="73"/>
  <c r="E83" i="73"/>
  <c r="F82" i="73"/>
  <c r="E82" i="73"/>
  <c r="G82" i="73" s="1"/>
  <c r="F81" i="73"/>
  <c r="E81" i="73"/>
  <c r="F80" i="73"/>
  <c r="E80" i="73"/>
  <c r="G80" i="73" s="1"/>
  <c r="F79" i="73"/>
  <c r="E79" i="73"/>
  <c r="F78" i="73"/>
  <c r="E78" i="73"/>
  <c r="G78" i="73" s="1"/>
  <c r="F77" i="73"/>
  <c r="E77" i="73"/>
  <c r="B78" i="73"/>
  <c r="C78" i="73"/>
  <c r="I78" i="73" s="1"/>
  <c r="B79" i="73"/>
  <c r="C79" i="73"/>
  <c r="B80" i="73"/>
  <c r="C80" i="73"/>
  <c r="I80" i="73" s="1"/>
  <c r="B81" i="73"/>
  <c r="C81" i="73"/>
  <c r="B82" i="73"/>
  <c r="C82" i="73"/>
  <c r="I82" i="73" s="1"/>
  <c r="B83" i="73"/>
  <c r="C83" i="73"/>
  <c r="B84" i="73"/>
  <c r="C84" i="73"/>
  <c r="I84" i="73" s="1"/>
  <c r="B85" i="73"/>
  <c r="C85" i="73"/>
  <c r="B86" i="73"/>
  <c r="C86" i="73"/>
  <c r="I86" i="73" s="1"/>
  <c r="B87" i="73"/>
  <c r="C87" i="73"/>
  <c r="B88" i="73"/>
  <c r="C88" i="73"/>
  <c r="I88" i="73" s="1"/>
  <c r="C77" i="73"/>
  <c r="B77" i="73"/>
  <c r="H78" i="73" l="1"/>
  <c r="H80" i="73"/>
  <c r="D86" i="73"/>
  <c r="D88" i="73"/>
  <c r="D84" i="73"/>
  <c r="D82" i="73"/>
  <c r="D81" i="73"/>
  <c r="D80" i="73"/>
  <c r="H88" i="73"/>
  <c r="J88" i="73" s="1"/>
  <c r="H82" i="73"/>
  <c r="J82" i="73" s="1"/>
  <c r="H84" i="73"/>
  <c r="J84" i="73" s="1"/>
  <c r="H86" i="73"/>
  <c r="J86" i="73" s="1"/>
  <c r="D78" i="73"/>
  <c r="J80" i="73"/>
  <c r="F89" i="73"/>
  <c r="I87" i="73"/>
  <c r="I85" i="73"/>
  <c r="I83" i="73"/>
  <c r="I79" i="73"/>
  <c r="G77" i="73"/>
  <c r="G79" i="73"/>
  <c r="G81" i="73"/>
  <c r="G87" i="73"/>
  <c r="D77" i="73"/>
  <c r="H83" i="73"/>
  <c r="H85" i="73"/>
  <c r="G83" i="73"/>
  <c r="I81" i="73"/>
  <c r="D85" i="73"/>
  <c r="D83" i="73"/>
  <c r="H77" i="73"/>
  <c r="E89" i="73"/>
  <c r="H87" i="73"/>
  <c r="H81" i="73"/>
  <c r="G85" i="73"/>
  <c r="H79" i="73"/>
  <c r="J79" i="73" s="1"/>
  <c r="D79" i="73"/>
  <c r="B89" i="73"/>
  <c r="D87" i="73"/>
  <c r="C89" i="73"/>
  <c r="I77" i="73"/>
  <c r="J78" i="73"/>
  <c r="G67" i="73"/>
  <c r="G66" i="73"/>
  <c r="G65" i="73"/>
  <c r="G64" i="73"/>
  <c r="G63" i="73"/>
  <c r="G62" i="73"/>
  <c r="G61" i="73"/>
  <c r="G60" i="73"/>
  <c r="G59" i="73"/>
  <c r="G58" i="73"/>
  <c r="G57" i="73"/>
  <c r="G56" i="73"/>
  <c r="D67" i="73"/>
  <c r="D66" i="73"/>
  <c r="D65" i="73"/>
  <c r="D64" i="73"/>
  <c r="D63" i="73"/>
  <c r="D62" i="73"/>
  <c r="D61" i="73"/>
  <c r="D60" i="73"/>
  <c r="D59" i="73"/>
  <c r="D58" i="73"/>
  <c r="D57" i="73"/>
  <c r="D56" i="73"/>
  <c r="G46" i="73"/>
  <c r="G45" i="73"/>
  <c r="G44" i="73"/>
  <c r="G43" i="73"/>
  <c r="G42" i="73"/>
  <c r="G41" i="73"/>
  <c r="G40" i="73"/>
  <c r="G39" i="73"/>
  <c r="G38" i="73"/>
  <c r="G37" i="73"/>
  <c r="G36" i="73"/>
  <c r="G35" i="73"/>
  <c r="D46" i="73"/>
  <c r="D45" i="73"/>
  <c r="D44" i="73"/>
  <c r="D43" i="73"/>
  <c r="D42" i="73"/>
  <c r="D41" i="73"/>
  <c r="D40" i="73"/>
  <c r="D39" i="73"/>
  <c r="D38" i="73"/>
  <c r="D37" i="73"/>
  <c r="D36" i="73"/>
  <c r="D35" i="73"/>
  <c r="G25" i="73"/>
  <c r="M119" i="73" s="1"/>
  <c r="G24" i="73"/>
  <c r="L119" i="73" s="1"/>
  <c r="G23" i="73"/>
  <c r="K119" i="73" s="1"/>
  <c r="G22" i="73"/>
  <c r="J119" i="73" s="1"/>
  <c r="G21" i="73"/>
  <c r="I119" i="73" s="1"/>
  <c r="G20" i="73"/>
  <c r="H119" i="73" s="1"/>
  <c r="G19" i="73"/>
  <c r="G119" i="73" s="1"/>
  <c r="G18" i="73"/>
  <c r="F119" i="73" s="1"/>
  <c r="G17" i="73"/>
  <c r="E119" i="73" s="1"/>
  <c r="G16" i="73"/>
  <c r="G15" i="73"/>
  <c r="C119" i="73" s="1"/>
  <c r="G14" i="73"/>
  <c r="B119" i="73" s="1"/>
  <c r="D15" i="73"/>
  <c r="D16" i="73"/>
  <c r="D118" i="73" s="1"/>
  <c r="D17" i="73"/>
  <c r="D18" i="73"/>
  <c r="D19" i="73"/>
  <c r="D20" i="73"/>
  <c r="H118" i="73" s="1"/>
  <c r="D21" i="73"/>
  <c r="D22" i="73"/>
  <c r="J118" i="73" s="1"/>
  <c r="D23" i="73"/>
  <c r="D24" i="73"/>
  <c r="L118" i="73" s="1"/>
  <c r="D25" i="73"/>
  <c r="D14" i="73"/>
  <c r="B118" i="73" s="1"/>
  <c r="F118" i="73" l="1"/>
  <c r="J83" i="73"/>
  <c r="D119" i="73"/>
  <c r="J87" i="73"/>
  <c r="D89" i="73"/>
  <c r="C90" i="73" s="1"/>
  <c r="J81" i="73"/>
  <c r="J85" i="73"/>
  <c r="J77" i="73"/>
  <c r="G89" i="73"/>
  <c r="F90" i="73" s="1"/>
  <c r="M118" i="73"/>
  <c r="M120" i="73" s="1"/>
  <c r="E118" i="73"/>
  <c r="E120" i="73" s="1"/>
  <c r="H89" i="73"/>
  <c r="I118" i="73"/>
  <c r="I120" i="73" s="1"/>
  <c r="I89" i="73"/>
  <c r="K118" i="73"/>
  <c r="K120" i="73" s="1"/>
  <c r="G118" i="73"/>
  <c r="G120" i="73" s="1"/>
  <c r="C118" i="73"/>
  <c r="C120" i="73" s="1"/>
  <c r="N119" i="73"/>
  <c r="L120" i="73"/>
  <c r="J120" i="73"/>
  <c r="H120" i="73"/>
  <c r="F120" i="73"/>
  <c r="D120" i="73"/>
  <c r="B120" i="73"/>
  <c r="E90" i="73" l="1"/>
  <c r="G90" i="73" s="1"/>
  <c r="B90" i="73"/>
  <c r="D90" i="73" s="1"/>
  <c r="J89" i="73"/>
  <c r="H90" i="73" s="1"/>
  <c r="N118" i="73"/>
  <c r="E91" i="73"/>
  <c r="B91" i="73"/>
  <c r="N120" i="73"/>
  <c r="I90" i="73" l="1"/>
  <c r="J90" i="73" s="1"/>
  <c r="H91" i="73"/>
  <c r="H43" i="73"/>
  <c r="I43" i="73"/>
  <c r="H44" i="73"/>
  <c r="I44" i="73"/>
  <c r="H45" i="73"/>
  <c r="I45" i="73"/>
  <c r="H46" i="73"/>
  <c r="I46" i="73"/>
  <c r="E106" i="73" l="1"/>
  <c r="F109" i="73"/>
  <c r="E109" i="73"/>
  <c r="E107" i="73"/>
  <c r="E108" i="73"/>
  <c r="F107" i="73"/>
  <c r="F108" i="73"/>
  <c r="F106" i="73"/>
  <c r="J46" i="73"/>
  <c r="J45" i="73"/>
  <c r="J43" i="73"/>
  <c r="J44" i="73"/>
  <c r="G107" i="73" l="1"/>
  <c r="G108" i="73"/>
  <c r="G109" i="73"/>
  <c r="G106" i="73"/>
  <c r="I19" i="73"/>
  <c r="C103" i="73" s="1"/>
  <c r="I20" i="73"/>
  <c r="C104" i="73" s="1"/>
  <c r="I21" i="73"/>
  <c r="C105" i="73" s="1"/>
  <c r="H19" i="73"/>
  <c r="B103" i="73" s="1"/>
  <c r="D103" i="73" l="1"/>
  <c r="J19" i="73"/>
  <c r="H17" i="73" l="1"/>
  <c r="B101" i="73" s="1"/>
  <c r="I17" i="73"/>
  <c r="C101" i="73" s="1"/>
  <c r="H18" i="73"/>
  <c r="B102" i="73" s="1"/>
  <c r="I18" i="73"/>
  <c r="C102" i="73" s="1"/>
  <c r="H20" i="73"/>
  <c r="B104" i="73" s="1"/>
  <c r="D104" i="73" s="1"/>
  <c r="H21" i="73"/>
  <c r="B105" i="73" s="1"/>
  <c r="H22" i="73"/>
  <c r="B106" i="73" s="1"/>
  <c r="I22" i="73"/>
  <c r="C106" i="73" s="1"/>
  <c r="H23" i="73"/>
  <c r="B107" i="73" s="1"/>
  <c r="I23" i="73"/>
  <c r="C107" i="73" s="1"/>
  <c r="H24" i="73"/>
  <c r="B108" i="73" s="1"/>
  <c r="I24" i="73"/>
  <c r="C108" i="73" s="1"/>
  <c r="H25" i="73"/>
  <c r="B109" i="73" s="1"/>
  <c r="I25" i="73"/>
  <c r="C109" i="73" s="1"/>
  <c r="D106" i="73" l="1"/>
  <c r="D105" i="73"/>
  <c r="D108" i="73"/>
  <c r="D102" i="73"/>
  <c r="D109" i="73"/>
  <c r="D107" i="73"/>
  <c r="D101" i="73"/>
  <c r="J17" i="73"/>
  <c r="J18" i="73"/>
  <c r="J25" i="73"/>
  <c r="J24" i="73"/>
  <c r="J23" i="73"/>
  <c r="J22" i="73"/>
  <c r="J21" i="73"/>
  <c r="J20" i="73"/>
  <c r="H15" i="73"/>
  <c r="B99" i="73" s="1"/>
  <c r="I15" i="73"/>
  <c r="C99" i="73" s="1"/>
  <c r="H16" i="73"/>
  <c r="B100" i="73" s="1"/>
  <c r="I16" i="73"/>
  <c r="C100" i="73" s="1"/>
  <c r="H36" i="73"/>
  <c r="E99" i="73" s="1"/>
  <c r="I36" i="73"/>
  <c r="F99" i="73" s="1"/>
  <c r="H37" i="73"/>
  <c r="E100" i="73" s="1"/>
  <c r="I37" i="73"/>
  <c r="F100" i="73" s="1"/>
  <c r="H38" i="73"/>
  <c r="E101" i="73" s="1"/>
  <c r="I38" i="73"/>
  <c r="F101" i="73" s="1"/>
  <c r="H39" i="73"/>
  <c r="E102" i="73" s="1"/>
  <c r="I39" i="73"/>
  <c r="F102" i="73" s="1"/>
  <c r="H40" i="73"/>
  <c r="E103" i="73" s="1"/>
  <c r="I40" i="73"/>
  <c r="F103" i="73" s="1"/>
  <c r="H41" i="73"/>
  <c r="E104" i="73" s="1"/>
  <c r="I41" i="73"/>
  <c r="F104" i="73" s="1"/>
  <c r="H42" i="73"/>
  <c r="I42" i="73"/>
  <c r="H57" i="73"/>
  <c r="H99" i="73" s="1"/>
  <c r="I57" i="73"/>
  <c r="I99" i="73" s="1"/>
  <c r="H58" i="73"/>
  <c r="H100" i="73" s="1"/>
  <c r="I58" i="73"/>
  <c r="I100" i="73" s="1"/>
  <c r="H59" i="73"/>
  <c r="H101" i="73" s="1"/>
  <c r="I59" i="73"/>
  <c r="H60" i="73"/>
  <c r="H102" i="73" s="1"/>
  <c r="I60" i="73"/>
  <c r="I102" i="73" s="1"/>
  <c r="H61" i="73"/>
  <c r="H103" i="73" s="1"/>
  <c r="I61" i="73"/>
  <c r="I103" i="73" s="1"/>
  <c r="H62" i="73"/>
  <c r="H104" i="73" s="1"/>
  <c r="I62" i="73"/>
  <c r="I104" i="73" s="1"/>
  <c r="H63" i="73"/>
  <c r="I63" i="73"/>
  <c r="H64" i="73"/>
  <c r="I64" i="73"/>
  <c r="H65" i="73"/>
  <c r="I65" i="73"/>
  <c r="H66" i="73"/>
  <c r="I66" i="73"/>
  <c r="H67" i="73"/>
  <c r="I67" i="73"/>
  <c r="L103" i="73" l="1"/>
  <c r="L7" i="73"/>
  <c r="I108" i="73"/>
  <c r="L108" i="73" s="1"/>
  <c r="I106" i="73"/>
  <c r="L106" i="73" s="1"/>
  <c r="F105" i="73"/>
  <c r="L99" i="73"/>
  <c r="H108" i="73"/>
  <c r="J6" i="73"/>
  <c r="H106" i="73"/>
  <c r="K104" i="73"/>
  <c r="J104" i="73"/>
  <c r="J102" i="73"/>
  <c r="J100" i="73"/>
  <c r="E105" i="73"/>
  <c r="G103" i="73"/>
  <c r="K103" i="73"/>
  <c r="G101" i="73"/>
  <c r="G99" i="73"/>
  <c r="K99" i="73"/>
  <c r="D99" i="73"/>
  <c r="K102" i="73"/>
  <c r="M7" i="73"/>
  <c r="I109" i="73"/>
  <c r="L109" i="73" s="1"/>
  <c r="I107" i="73"/>
  <c r="L107" i="73" s="1"/>
  <c r="I105" i="73"/>
  <c r="E7" i="73"/>
  <c r="I101" i="73"/>
  <c r="L101" i="73" s="1"/>
  <c r="L104" i="73"/>
  <c r="L102" i="73"/>
  <c r="L100" i="73"/>
  <c r="H109" i="73"/>
  <c r="K6" i="73"/>
  <c r="H107" i="73"/>
  <c r="H105" i="73"/>
  <c r="J103" i="73"/>
  <c r="J99" i="73"/>
  <c r="G104" i="73"/>
  <c r="G102" i="73"/>
  <c r="G100" i="73"/>
  <c r="K100" i="73"/>
  <c r="D100" i="73"/>
  <c r="K101" i="73"/>
  <c r="J57" i="73"/>
  <c r="J39" i="73"/>
  <c r="J42" i="73"/>
  <c r="J38" i="73"/>
  <c r="J36" i="73"/>
  <c r="J15" i="73"/>
  <c r="J60" i="73"/>
  <c r="J37" i="73"/>
  <c r="F7" i="73"/>
  <c r="J41" i="73"/>
  <c r="J62" i="73"/>
  <c r="J59" i="73"/>
  <c r="C7" i="73"/>
  <c r="F6" i="73"/>
  <c r="D7" i="73"/>
  <c r="C6" i="73"/>
  <c r="E6" i="73"/>
  <c r="J65" i="73"/>
  <c r="J58" i="73"/>
  <c r="I7" i="73"/>
  <c r="J16" i="73"/>
  <c r="D6" i="73"/>
  <c r="I6" i="73"/>
  <c r="J67" i="73"/>
  <c r="M6" i="73"/>
  <c r="J66" i="73"/>
  <c r="L6" i="73"/>
  <c r="K7" i="73"/>
  <c r="J64" i="73"/>
  <c r="J7" i="73"/>
  <c r="J63" i="73"/>
  <c r="H7" i="73"/>
  <c r="H6" i="73"/>
  <c r="G6" i="73"/>
  <c r="J61" i="73"/>
  <c r="J40" i="73"/>
  <c r="G7" i="73"/>
  <c r="I56" i="73"/>
  <c r="I98" i="73" s="1"/>
  <c r="H56" i="73"/>
  <c r="I35" i="73"/>
  <c r="F98" i="73" s="1"/>
  <c r="H35" i="73"/>
  <c r="I14" i="73"/>
  <c r="C98" i="73" s="1"/>
  <c r="C110" i="73" s="1"/>
  <c r="H14" i="73"/>
  <c r="F68" i="73"/>
  <c r="E68" i="73"/>
  <c r="C68" i="73"/>
  <c r="B68" i="73"/>
  <c r="F47" i="73"/>
  <c r="E47" i="73"/>
  <c r="C47" i="73"/>
  <c r="B47" i="73"/>
  <c r="C26" i="73"/>
  <c r="E26" i="73"/>
  <c r="F26" i="73"/>
  <c r="B26" i="73"/>
  <c r="M103" i="73" l="1"/>
  <c r="J105" i="73"/>
  <c r="M99" i="73"/>
  <c r="J101" i="73"/>
  <c r="M100" i="73"/>
  <c r="M102" i="73"/>
  <c r="L105" i="73"/>
  <c r="H47" i="73"/>
  <c r="E98" i="73"/>
  <c r="J107" i="73"/>
  <c r="K107" i="73"/>
  <c r="M107" i="73" s="1"/>
  <c r="L98" i="73"/>
  <c r="F110" i="73"/>
  <c r="M101" i="73"/>
  <c r="G105" i="73"/>
  <c r="K105" i="73"/>
  <c r="M105" i="73" s="1"/>
  <c r="J108" i="73"/>
  <c r="K108" i="73"/>
  <c r="M108" i="73" s="1"/>
  <c r="B6" i="73"/>
  <c r="B98" i="73"/>
  <c r="H68" i="73"/>
  <c r="H98" i="73"/>
  <c r="K106" i="73"/>
  <c r="M106" i="73" s="1"/>
  <c r="J106" i="73"/>
  <c r="I110" i="73"/>
  <c r="J109" i="73"/>
  <c r="K109" i="73"/>
  <c r="M109" i="73" s="1"/>
  <c r="M104" i="73"/>
  <c r="I8" i="73"/>
  <c r="J14" i="73"/>
  <c r="J26" i="73" s="1"/>
  <c r="J56" i="73"/>
  <c r="J68" i="73" s="1"/>
  <c r="J35" i="73"/>
  <c r="J47" i="73" s="1"/>
  <c r="B7" i="73"/>
  <c r="H26" i="73"/>
  <c r="D68" i="73"/>
  <c r="B69" i="73" s="1"/>
  <c r="G68" i="73"/>
  <c r="E69" i="73" s="1"/>
  <c r="I47" i="73"/>
  <c r="I68" i="73"/>
  <c r="I26" i="73"/>
  <c r="D47" i="73"/>
  <c r="B48" i="73" s="1"/>
  <c r="G47" i="73"/>
  <c r="G26" i="73"/>
  <c r="E27" i="73" s="1"/>
  <c r="D26" i="73"/>
  <c r="L110" i="73" l="1"/>
  <c r="H48" i="73"/>
  <c r="K98" i="73"/>
  <c r="D98" i="73"/>
  <c r="D110" i="73" s="1"/>
  <c r="B110" i="73"/>
  <c r="G98" i="73"/>
  <c r="G110" i="73" s="1"/>
  <c r="E110" i="73"/>
  <c r="H27" i="73"/>
  <c r="J98" i="73"/>
  <c r="J110" i="73" s="1"/>
  <c r="I111" i="73" s="1"/>
  <c r="H110" i="73"/>
  <c r="I27" i="73"/>
  <c r="B70" i="73"/>
  <c r="C69" i="73"/>
  <c r="D69" i="73" s="1"/>
  <c r="F69" i="73"/>
  <c r="G69" i="73" s="1"/>
  <c r="I69" i="73"/>
  <c r="C48" i="73"/>
  <c r="D48" i="73" s="1"/>
  <c r="B49" i="73"/>
  <c r="H69" i="73"/>
  <c r="I48" i="73"/>
  <c r="E70" i="73"/>
  <c r="E49" i="73"/>
  <c r="F48" i="73"/>
  <c r="E48" i="73"/>
  <c r="F27" i="73"/>
  <c r="G27" i="73" s="1"/>
  <c r="J27" i="73" l="1"/>
  <c r="H111" i="73"/>
  <c r="J111" i="73" s="1"/>
  <c r="J48" i="73"/>
  <c r="F111" i="73"/>
  <c r="E112" i="73"/>
  <c r="H70" i="73"/>
  <c r="B111" i="73"/>
  <c r="M98" i="73"/>
  <c r="M110" i="73" s="1"/>
  <c r="L111" i="73" s="1"/>
  <c r="K110" i="73"/>
  <c r="E111" i="73"/>
  <c r="C111" i="73"/>
  <c r="B112" i="73"/>
  <c r="G48" i="73"/>
  <c r="J69" i="73"/>
  <c r="H49" i="73"/>
  <c r="C27" i="73"/>
  <c r="B27" i="73"/>
  <c r="E28" i="73"/>
  <c r="H112" i="73" l="1"/>
  <c r="K112" i="73" s="1"/>
  <c r="K111" i="73"/>
  <c r="M111" i="73" s="1"/>
  <c r="G111" i="73"/>
  <c r="D111" i="73"/>
  <c r="D27" i="73"/>
  <c r="B28" i="73"/>
  <c r="H28" i="73" s="1"/>
  <c r="I36" i="13" l="1"/>
  <c r="B36" i="13" l="1"/>
  <c r="E36" i="13"/>
  <c r="H36" i="13"/>
  <c r="D36" i="13"/>
  <c r="C36" i="13" l="1"/>
  <c r="H27" i="13" l="1"/>
  <c r="F37" i="13" s="1"/>
  <c r="H28" i="13"/>
  <c r="G37" i="13" s="1"/>
  <c r="H30" i="13"/>
  <c r="I37" i="13" s="1"/>
  <c r="H26" i="13"/>
  <c r="E37" i="13" s="1"/>
  <c r="H25" i="13"/>
  <c r="D37" i="13" s="1"/>
  <c r="H23" i="13"/>
  <c r="H29" i="13"/>
  <c r="H37" i="13" s="1"/>
  <c r="H24" i="13"/>
  <c r="C37" i="13" s="1"/>
  <c r="M8" i="73"/>
  <c r="L8" i="73"/>
  <c r="K8" i="73"/>
  <c r="J8" i="73"/>
  <c r="H8" i="73"/>
  <c r="G8" i="73"/>
  <c r="F8" i="73"/>
  <c r="E8" i="73"/>
  <c r="D8" i="73"/>
  <c r="C8" i="73"/>
  <c r="B8" i="73"/>
  <c r="N7" i="73"/>
  <c r="N6" i="73"/>
  <c r="B37" i="13" l="1"/>
  <c r="H31" i="13"/>
  <c r="N8" i="73"/>
  <c r="O6" i="15" l="1"/>
  <c r="O8" i="15"/>
  <c r="O9" i="15"/>
  <c r="O13" i="15"/>
  <c r="O14" i="15"/>
  <c r="O15" i="15"/>
  <c r="O18" i="15"/>
  <c r="O19" i="15"/>
  <c r="O20" i="15"/>
  <c r="O22" i="15"/>
  <c r="O23" i="15" s="1"/>
  <c r="O5" i="15"/>
  <c r="O21" i="15" l="1"/>
  <c r="O16" i="15"/>
  <c r="O10" i="15"/>
  <c r="B59" i="12"/>
  <c r="O24" i="15" l="1"/>
  <c r="P12" i="15" s="1"/>
  <c r="J58" i="12"/>
  <c r="J57" i="12"/>
  <c r="J56" i="12"/>
  <c r="J55" i="12"/>
  <c r="J54" i="12"/>
  <c r="J53" i="12"/>
  <c r="J52" i="12"/>
  <c r="J51" i="12"/>
  <c r="J50" i="12"/>
  <c r="J49" i="12"/>
  <c r="J48" i="12"/>
  <c r="J47" i="12"/>
  <c r="K47" i="12" s="1"/>
  <c r="K51" i="12" l="1"/>
  <c r="K50" i="12"/>
  <c r="K58" i="12"/>
  <c r="K55" i="12"/>
  <c r="K54" i="12"/>
  <c r="K52" i="12"/>
  <c r="K56" i="12"/>
  <c r="K49" i="12"/>
  <c r="K57" i="12"/>
  <c r="K48" i="12"/>
  <c r="K53" i="12"/>
  <c r="H67" i="12" l="1"/>
  <c r="D37" i="66"/>
  <c r="B18" i="66"/>
  <c r="N12" i="8"/>
  <c r="H68" i="12" l="1"/>
  <c r="B160" i="42" l="1"/>
  <c r="B110" i="42"/>
  <c r="B107" i="42"/>
  <c r="G78" i="42"/>
  <c r="G77" i="42" s="1"/>
  <c r="B94" i="42"/>
  <c r="A9" i="42"/>
  <c r="G160" i="42" l="1"/>
  <c r="G107" i="42"/>
  <c r="B97" i="42"/>
  <c r="G80" i="42"/>
  <c r="B82" i="42"/>
  <c r="B86" i="42"/>
  <c r="B90" i="42"/>
  <c r="G132" i="42"/>
  <c r="B77" i="42"/>
  <c r="B163" i="42"/>
  <c r="B174" i="42"/>
  <c r="B113" i="42"/>
  <c r="B132" i="42"/>
  <c r="B148" i="42"/>
  <c r="B179" i="42"/>
  <c r="D27" i="14"/>
  <c r="D26" i="14"/>
  <c r="D25" i="14"/>
  <c r="D24" i="14"/>
  <c r="D23" i="14"/>
  <c r="B24" i="14"/>
  <c r="D16" i="14"/>
  <c r="D15" i="14" l="1"/>
  <c r="D22" i="14"/>
  <c r="D12" i="14" l="1"/>
  <c r="A12" i="35"/>
  <c r="A13" i="35"/>
  <c r="A14" i="35"/>
  <c r="A15" i="35"/>
  <c r="A11" i="35"/>
  <c r="A9" i="35"/>
  <c r="A8" i="35"/>
  <c r="A7" i="35"/>
  <c r="A6" i="35"/>
  <c r="A5" i="35"/>
  <c r="B23" i="14"/>
  <c r="B16" i="14"/>
  <c r="B27" i="14"/>
  <c r="B26" i="14"/>
  <c r="B25" i="14"/>
  <c r="D10" i="51"/>
  <c r="B36" i="14" s="1"/>
  <c r="C8" i="35"/>
  <c r="C6" i="35"/>
  <c r="C7" i="35"/>
  <c r="C5" i="35"/>
  <c r="C11" i="35"/>
  <c r="C97" i="55" l="1"/>
  <c r="F81" i="72"/>
  <c r="C81" i="72"/>
  <c r="G80" i="72"/>
  <c r="E58" i="72"/>
  <c r="D58" i="72"/>
  <c r="E57" i="72"/>
  <c r="D57" i="72"/>
  <c r="G57" i="72"/>
  <c r="E56" i="72"/>
  <c r="D56" i="72"/>
  <c r="F56" i="72"/>
  <c r="E55" i="72"/>
  <c r="D55" i="72"/>
  <c r="G55" i="72"/>
  <c r="F54" i="72"/>
  <c r="E54" i="72"/>
  <c r="D54" i="72"/>
  <c r="G54" i="72"/>
  <c r="E53" i="72"/>
  <c r="D53" i="72"/>
  <c r="F53" i="72"/>
  <c r="E52" i="72"/>
  <c r="D52" i="72"/>
  <c r="B52" i="72"/>
  <c r="G52" i="72" s="1"/>
  <c r="E51" i="72"/>
  <c r="D51" i="72"/>
  <c r="B51" i="72"/>
  <c r="G51" i="72" s="1"/>
  <c r="G50" i="72"/>
  <c r="F50" i="72"/>
  <c r="E50" i="72"/>
  <c r="D50" i="72"/>
  <c r="G49" i="72"/>
  <c r="F49" i="72"/>
  <c r="E49" i="72"/>
  <c r="D49" i="72"/>
  <c r="G48" i="72"/>
  <c r="F48" i="72"/>
  <c r="E48" i="72"/>
  <c r="D48" i="72"/>
  <c r="G47" i="72"/>
  <c r="F47" i="72"/>
  <c r="E47" i="72"/>
  <c r="D47" i="72"/>
  <c r="G46" i="72"/>
  <c r="F46" i="72"/>
  <c r="E46" i="72"/>
  <c r="D46" i="72"/>
  <c r="G45" i="72"/>
  <c r="F45" i="72"/>
  <c r="E45" i="72"/>
  <c r="D45" i="72"/>
  <c r="G44" i="72"/>
  <c r="F44" i="72"/>
  <c r="E44" i="72"/>
  <c r="D44" i="72"/>
  <c r="G43" i="72"/>
  <c r="F43" i="72"/>
  <c r="E43" i="72"/>
  <c r="D43" i="72"/>
  <c r="G42" i="72"/>
  <c r="E42" i="72"/>
  <c r="D42" i="72"/>
  <c r="E31" i="72"/>
  <c r="D31" i="72"/>
  <c r="F31" i="72"/>
  <c r="G30" i="72"/>
  <c r="F30" i="72"/>
  <c r="E30" i="72"/>
  <c r="D30" i="72"/>
  <c r="G29" i="72"/>
  <c r="F29" i="72"/>
  <c r="E29" i="72"/>
  <c r="D29" i="72"/>
  <c r="G28" i="72"/>
  <c r="F28" i="72"/>
  <c r="E28" i="72"/>
  <c r="D28" i="72"/>
  <c r="G27" i="72"/>
  <c r="F27" i="72"/>
  <c r="C26" i="72"/>
  <c r="G26" i="72" s="1"/>
  <c r="C25" i="72"/>
  <c r="G25" i="72" s="1"/>
  <c r="C24" i="72"/>
  <c r="G24" i="72" s="1"/>
  <c r="C23" i="72"/>
  <c r="G22" i="72"/>
  <c r="F22" i="72"/>
  <c r="E22" i="72"/>
  <c r="D22" i="72"/>
  <c r="I12" i="72"/>
  <c r="H12" i="72"/>
  <c r="F12" i="72"/>
  <c r="E12" i="72"/>
  <c r="C12" i="72"/>
  <c r="B12" i="72"/>
  <c r="L11" i="72"/>
  <c r="K11" i="72"/>
  <c r="J11" i="72"/>
  <c r="G11" i="72"/>
  <c r="D11" i="72"/>
  <c r="L10" i="72"/>
  <c r="K10" i="72"/>
  <c r="J10" i="72"/>
  <c r="G10" i="72"/>
  <c r="D10" i="72"/>
  <c r="L9" i="72"/>
  <c r="K9" i="72"/>
  <c r="J9" i="72"/>
  <c r="G9" i="72"/>
  <c r="D9" i="72"/>
  <c r="L8" i="72"/>
  <c r="K8" i="72"/>
  <c r="J8" i="72"/>
  <c r="G8" i="72"/>
  <c r="D8" i="72"/>
  <c r="L7" i="72"/>
  <c r="K7" i="72"/>
  <c r="J7" i="72"/>
  <c r="G7" i="72"/>
  <c r="D7" i="72"/>
  <c r="L6" i="72"/>
  <c r="K6" i="72"/>
  <c r="J6" i="72"/>
  <c r="G6" i="72"/>
  <c r="D6" i="72"/>
  <c r="H79" i="72" l="1"/>
  <c r="B13" i="72"/>
  <c r="E24" i="72"/>
  <c r="F24" i="72"/>
  <c r="D79" i="72"/>
  <c r="H80" i="72"/>
  <c r="D25" i="72"/>
  <c r="D27" i="72"/>
  <c r="E25" i="72"/>
  <c r="G79" i="72"/>
  <c r="D26" i="72"/>
  <c r="F57" i="72"/>
  <c r="G23" i="72"/>
  <c r="G31" i="72"/>
  <c r="D23" i="72"/>
  <c r="F25" i="72"/>
  <c r="E26" i="72"/>
  <c r="E27" i="72"/>
  <c r="F51" i="72"/>
  <c r="D80" i="72"/>
  <c r="B81" i="72"/>
  <c r="E81" i="72" s="1"/>
  <c r="E23" i="72"/>
  <c r="D24" i="72"/>
  <c r="F26" i="72"/>
  <c r="F52" i="72"/>
  <c r="F55" i="72"/>
  <c r="G53" i="72"/>
  <c r="G56" i="72"/>
  <c r="F23" i="72"/>
  <c r="M11" i="72"/>
  <c r="O11" i="72" s="1"/>
  <c r="F13" i="72"/>
  <c r="J12" i="72"/>
  <c r="M8" i="72"/>
  <c r="M9" i="72"/>
  <c r="H13" i="72"/>
  <c r="M6" i="72"/>
  <c r="M10" i="72"/>
  <c r="G12" i="72"/>
  <c r="D12" i="72"/>
  <c r="L12" i="72"/>
  <c r="C13" i="72"/>
  <c r="I13" i="72"/>
  <c r="M7" i="72"/>
  <c r="E13" i="72"/>
  <c r="K12" i="72"/>
  <c r="E14" i="72" l="1"/>
  <c r="B14" i="72"/>
  <c r="O6" i="72"/>
  <c r="O9" i="72"/>
  <c r="G81" i="72"/>
  <c r="G13" i="72"/>
  <c r="L13" i="72"/>
  <c r="K13" i="72"/>
  <c r="O10" i="72"/>
  <c r="O7" i="72"/>
  <c r="G58" i="72"/>
  <c r="F58" i="72"/>
  <c r="J13" i="72"/>
  <c r="D81" i="72"/>
  <c r="D13" i="72"/>
  <c r="O8" i="72"/>
  <c r="H81" i="72"/>
  <c r="H14" i="72"/>
  <c r="K14" i="72" s="1"/>
  <c r="M12" i="72"/>
  <c r="O12" i="72" s="1"/>
  <c r="M13" i="72" l="1"/>
  <c r="E153" i="51"/>
  <c r="F153" i="51"/>
  <c r="G153" i="51"/>
  <c r="H153" i="51"/>
  <c r="I153" i="51"/>
  <c r="J153" i="51"/>
  <c r="K153" i="51"/>
  <c r="L153" i="51"/>
  <c r="M153" i="51"/>
  <c r="E152" i="51"/>
  <c r="F152" i="51"/>
  <c r="G152" i="51"/>
  <c r="H152" i="51"/>
  <c r="I152" i="51"/>
  <c r="J152" i="51"/>
  <c r="K152" i="51"/>
  <c r="L152" i="51"/>
  <c r="M152" i="51"/>
  <c r="E151" i="51"/>
  <c r="F151" i="51"/>
  <c r="G151" i="51"/>
  <c r="H151" i="51"/>
  <c r="I151" i="51"/>
  <c r="J151" i="51"/>
  <c r="K151" i="51"/>
  <c r="L151" i="51"/>
  <c r="M151" i="51"/>
  <c r="E150" i="51"/>
  <c r="F150" i="51"/>
  <c r="G150" i="51"/>
  <c r="H150" i="51"/>
  <c r="I150" i="51"/>
  <c r="J150" i="51"/>
  <c r="K150" i="51"/>
  <c r="L150" i="51"/>
  <c r="M150" i="51"/>
  <c r="E149" i="51"/>
  <c r="F149" i="51"/>
  <c r="G149" i="51"/>
  <c r="H149" i="51"/>
  <c r="I149" i="51"/>
  <c r="J149" i="51"/>
  <c r="K149" i="51"/>
  <c r="L149" i="51"/>
  <c r="M149" i="51"/>
  <c r="E148" i="51"/>
  <c r="F148" i="51"/>
  <c r="G148" i="51"/>
  <c r="H148" i="51"/>
  <c r="I148" i="51"/>
  <c r="J148" i="51"/>
  <c r="K148" i="51"/>
  <c r="L148" i="51"/>
  <c r="M148" i="51"/>
  <c r="N141" i="51"/>
  <c r="N140" i="51"/>
  <c r="E153" i="14" s="1"/>
  <c r="N139" i="51"/>
  <c r="N138" i="51"/>
  <c r="E151" i="14" s="1"/>
  <c r="N137" i="51"/>
  <c r="N136" i="51"/>
  <c r="E149" i="14" s="1"/>
  <c r="N135" i="51"/>
  <c r="N134" i="51"/>
  <c r="N133" i="51"/>
  <c r="N132" i="51"/>
  <c r="E145" i="14" s="1"/>
  <c r="N131" i="51"/>
  <c r="N130" i="51"/>
  <c r="E143" i="14" s="1"/>
  <c r="N129" i="51"/>
  <c r="N128" i="51"/>
  <c r="E141" i="14" s="1"/>
  <c r="N127" i="51"/>
  <c r="N126" i="51"/>
  <c r="E139" i="14" s="1"/>
  <c r="N125" i="51"/>
  <c r="N124" i="51"/>
  <c r="E137" i="14" s="1"/>
  <c r="N123" i="51"/>
  <c r="N122" i="51"/>
  <c r="E135" i="14" s="1"/>
  <c r="N121" i="51"/>
  <c r="N120" i="51"/>
  <c r="E31" i="14" s="1"/>
  <c r="N119" i="51"/>
  <c r="N118" i="51"/>
  <c r="E133" i="14" s="1"/>
  <c r="N117" i="51"/>
  <c r="N116" i="51"/>
  <c r="E131" i="14" s="1"/>
  <c r="N115" i="51"/>
  <c r="N114" i="51"/>
  <c r="N113" i="51"/>
  <c r="N112" i="51"/>
  <c r="E127" i="14" s="1"/>
  <c r="N111" i="51"/>
  <c r="N110" i="51"/>
  <c r="E125" i="14" s="1"/>
  <c r="N109" i="51"/>
  <c r="N108" i="51"/>
  <c r="E123" i="14" s="1"/>
  <c r="N107" i="51"/>
  <c r="N106" i="51"/>
  <c r="E121" i="14" s="1"/>
  <c r="N105" i="51"/>
  <c r="N104" i="51"/>
  <c r="E119" i="14" s="1"/>
  <c r="N103" i="51"/>
  <c r="N102" i="51"/>
  <c r="E29" i="14" s="1"/>
  <c r="N101" i="51"/>
  <c r="N100" i="51"/>
  <c r="E117" i="14" s="1"/>
  <c r="N99" i="51"/>
  <c r="N98" i="51"/>
  <c r="E115" i="14" s="1"/>
  <c r="N97" i="51"/>
  <c r="N96" i="51"/>
  <c r="E113" i="14" s="1"/>
  <c r="N95" i="51"/>
  <c r="N94" i="51"/>
  <c r="E111" i="14" s="1"/>
  <c r="N93" i="51"/>
  <c r="E110" i="14" s="1"/>
  <c r="N92" i="51"/>
  <c r="E109" i="14" s="1"/>
  <c r="N91" i="51"/>
  <c r="E108" i="14" s="1"/>
  <c r="N90" i="51"/>
  <c r="N89" i="51"/>
  <c r="E106" i="14" s="1"/>
  <c r="N88" i="51"/>
  <c r="E105" i="14" s="1"/>
  <c r="N87" i="51"/>
  <c r="E18" i="14" s="1"/>
  <c r="N86" i="51"/>
  <c r="E104" i="14" s="1"/>
  <c r="N85" i="51"/>
  <c r="N84" i="51"/>
  <c r="E102" i="14" s="1"/>
  <c r="N83" i="51"/>
  <c r="E101" i="14" s="1"/>
  <c r="N82" i="51"/>
  <c r="E100" i="14" s="1"/>
  <c r="N81" i="51"/>
  <c r="E99" i="14" s="1"/>
  <c r="N80" i="51"/>
  <c r="E98" i="14" s="1"/>
  <c r="N79" i="51"/>
  <c r="E97" i="14" s="1"/>
  <c r="N78" i="51"/>
  <c r="N77" i="51"/>
  <c r="E95" i="14" s="1"/>
  <c r="N76" i="51"/>
  <c r="E94" i="14" s="1"/>
  <c r="N75" i="51"/>
  <c r="E93" i="14" s="1"/>
  <c r="N74" i="51"/>
  <c r="E92" i="14" s="1"/>
  <c r="N73" i="51"/>
  <c r="E28" i="14" s="1"/>
  <c r="N72" i="51"/>
  <c r="E91" i="14" s="1"/>
  <c r="N71" i="51"/>
  <c r="N70" i="51"/>
  <c r="E89" i="14" s="1"/>
  <c r="N69" i="51"/>
  <c r="E88" i="14" s="1"/>
  <c r="N68" i="51"/>
  <c r="E17" i="14" s="1"/>
  <c r="N67" i="51"/>
  <c r="E87" i="14" s="1"/>
  <c r="N66" i="51"/>
  <c r="N65" i="51"/>
  <c r="E85" i="14" s="1"/>
  <c r="N64" i="51"/>
  <c r="E84" i="14" s="1"/>
  <c r="N63" i="51"/>
  <c r="E83" i="14" s="1"/>
  <c r="N62" i="51"/>
  <c r="E82" i="14" s="1"/>
  <c r="N61" i="51"/>
  <c r="E81" i="14" s="1"/>
  <c r="N60" i="51"/>
  <c r="E80" i="14" s="1"/>
  <c r="N59" i="51"/>
  <c r="E79" i="14" s="1"/>
  <c r="N58" i="51"/>
  <c r="E78" i="14" s="1"/>
  <c r="N57" i="51"/>
  <c r="E77" i="14" s="1"/>
  <c r="N56" i="51"/>
  <c r="E76" i="14" s="1"/>
  <c r="N55" i="51"/>
  <c r="E75" i="14" s="1"/>
  <c r="N54" i="51"/>
  <c r="E74" i="14" s="1"/>
  <c r="N53" i="51"/>
  <c r="E73" i="14" s="1"/>
  <c r="N52" i="51"/>
  <c r="E72" i="14" s="1"/>
  <c r="N51" i="51"/>
  <c r="N50" i="51"/>
  <c r="N49" i="51"/>
  <c r="N48" i="51"/>
  <c r="O15" i="55" s="1"/>
  <c r="N47" i="51"/>
  <c r="O36" i="55" s="1"/>
  <c r="N46" i="51"/>
  <c r="N45" i="51"/>
  <c r="O16" i="55" s="1"/>
  <c r="N44" i="51"/>
  <c r="E68" i="14" s="1"/>
  <c r="N43" i="51"/>
  <c r="O20" i="55" s="1"/>
  <c r="N42" i="51"/>
  <c r="N41" i="51"/>
  <c r="N40" i="51"/>
  <c r="N39" i="51"/>
  <c r="N38" i="51"/>
  <c r="N37" i="51"/>
  <c r="N36" i="51"/>
  <c r="E61" i="14" s="1"/>
  <c r="N35" i="51"/>
  <c r="N34" i="51"/>
  <c r="N33" i="51"/>
  <c r="N32" i="51"/>
  <c r="N31" i="51"/>
  <c r="N30" i="51"/>
  <c r="N29" i="51"/>
  <c r="N28" i="51"/>
  <c r="N27" i="51"/>
  <c r="N26" i="51"/>
  <c r="N25" i="51"/>
  <c r="N24" i="51"/>
  <c r="N23" i="51"/>
  <c r="N22" i="51"/>
  <c r="N21" i="51"/>
  <c r="N20" i="51"/>
  <c r="N19" i="51"/>
  <c r="O10" i="55" s="1"/>
  <c r="N18" i="51"/>
  <c r="N17" i="51"/>
  <c r="N16" i="51"/>
  <c r="N15" i="51"/>
  <c r="N14" i="51"/>
  <c r="N13" i="51"/>
  <c r="N12" i="51"/>
  <c r="N11" i="51"/>
  <c r="N10" i="51"/>
  <c r="P28" i="51"/>
  <c r="Q86" i="55" s="1"/>
  <c r="P54" i="51"/>
  <c r="Q125" i="55" s="1"/>
  <c r="O60" i="51"/>
  <c r="P115" i="55" s="1"/>
  <c r="P66" i="51"/>
  <c r="Q57" i="55" s="1"/>
  <c r="O76" i="51"/>
  <c r="P24" i="55" s="1"/>
  <c r="P84" i="51"/>
  <c r="Q48" i="55" s="1"/>
  <c r="P87" i="51"/>
  <c r="Q25" i="55" s="1"/>
  <c r="P90" i="51"/>
  <c r="Q118" i="55" s="1"/>
  <c r="P95" i="51"/>
  <c r="Q129" i="55" s="1"/>
  <c r="P103" i="51"/>
  <c r="Q52" i="55" s="1"/>
  <c r="O108" i="51"/>
  <c r="P116" i="55" s="1"/>
  <c r="P111" i="51"/>
  <c r="Q137" i="55" s="1"/>
  <c r="P119" i="51"/>
  <c r="Q117" i="55" s="1"/>
  <c r="O120" i="51"/>
  <c r="P28" i="55" s="1"/>
  <c r="P127" i="51"/>
  <c r="Q135" i="55" s="1"/>
  <c r="P134" i="51"/>
  <c r="Q80" i="55" s="1"/>
  <c r="P135" i="51"/>
  <c r="Q60" i="55" s="1"/>
  <c r="O140" i="51"/>
  <c r="P96" i="55" s="1"/>
  <c r="Q142" i="51"/>
  <c r="J28" i="12"/>
  <c r="K28" i="12" s="1"/>
  <c r="J29" i="12"/>
  <c r="J30" i="12"/>
  <c r="J31" i="12"/>
  <c r="J32" i="12"/>
  <c r="J33" i="12"/>
  <c r="J34" i="12"/>
  <c r="J35" i="12"/>
  <c r="J36" i="12"/>
  <c r="J37" i="12"/>
  <c r="J38" i="12"/>
  <c r="J39" i="12"/>
  <c r="B40" i="12"/>
  <c r="C40" i="12"/>
  <c r="D40" i="12"/>
  <c r="E40" i="12"/>
  <c r="F40" i="12"/>
  <c r="G40" i="12"/>
  <c r="H40" i="12"/>
  <c r="I40" i="12"/>
  <c r="J59" i="12"/>
  <c r="B60" i="12" s="1"/>
  <c r="C59" i="12"/>
  <c r="D59" i="12"/>
  <c r="E59" i="12"/>
  <c r="F59" i="12"/>
  <c r="G59" i="12"/>
  <c r="H59" i="12"/>
  <c r="I59" i="12"/>
  <c r="I7" i="8"/>
  <c r="C13" i="35"/>
  <c r="C14" i="35"/>
  <c r="C17" i="35"/>
  <c r="C12" i="35"/>
  <c r="O97" i="55" l="1"/>
  <c r="E36" i="14"/>
  <c r="O140" i="55"/>
  <c r="E40" i="14"/>
  <c r="O51" i="55"/>
  <c r="E44" i="14"/>
  <c r="O102" i="55"/>
  <c r="E47" i="14"/>
  <c r="O98" i="55"/>
  <c r="E51" i="14"/>
  <c r="O32" i="55"/>
  <c r="E55" i="14"/>
  <c r="O38" i="55"/>
  <c r="E59" i="14"/>
  <c r="O42" i="55"/>
  <c r="E63" i="14"/>
  <c r="O101" i="55"/>
  <c r="E67" i="14"/>
  <c r="O95" i="55"/>
  <c r="E69" i="14"/>
  <c r="O106" i="55"/>
  <c r="E70" i="14"/>
  <c r="O66" i="51"/>
  <c r="P57" i="55" s="1"/>
  <c r="E86" i="14"/>
  <c r="P78" i="51"/>
  <c r="Q68" i="55" s="1"/>
  <c r="E96" i="14"/>
  <c r="O90" i="51"/>
  <c r="P118" i="55" s="1"/>
  <c r="E107" i="14"/>
  <c r="O114" i="51"/>
  <c r="P121" i="55" s="1"/>
  <c r="E129" i="14"/>
  <c r="O134" i="51"/>
  <c r="P80" i="55" s="1"/>
  <c r="E147" i="14"/>
  <c r="P30" i="51"/>
  <c r="Q32" i="55" s="1"/>
  <c r="O55" i="55"/>
  <c r="E37" i="14"/>
  <c r="O134" i="55"/>
  <c r="E41" i="14"/>
  <c r="O85" i="55"/>
  <c r="E48" i="14"/>
  <c r="O124" i="55"/>
  <c r="E52" i="14"/>
  <c r="O37" i="55"/>
  <c r="E56" i="14"/>
  <c r="O34" i="55"/>
  <c r="E60" i="14"/>
  <c r="O47" i="55"/>
  <c r="E64" i="14"/>
  <c r="O79" i="55"/>
  <c r="E71" i="14"/>
  <c r="O141" i="55"/>
  <c r="E90" i="14"/>
  <c r="O129" i="55"/>
  <c r="E112" i="14"/>
  <c r="O75" i="55"/>
  <c r="E116" i="14"/>
  <c r="O52" i="55"/>
  <c r="E118" i="14"/>
  <c r="O126" i="55"/>
  <c r="E122" i="14"/>
  <c r="O137" i="55"/>
  <c r="E126" i="14"/>
  <c r="O127" i="55"/>
  <c r="E130" i="14"/>
  <c r="O117" i="55"/>
  <c r="E134" i="14"/>
  <c r="O89" i="55"/>
  <c r="E136" i="14"/>
  <c r="O135" i="55"/>
  <c r="E140" i="14"/>
  <c r="O53" i="55"/>
  <c r="E144" i="14"/>
  <c r="O60" i="55"/>
  <c r="E148" i="14"/>
  <c r="O110" i="55"/>
  <c r="E152" i="14"/>
  <c r="O54" i="55"/>
  <c r="E38" i="14"/>
  <c r="O122" i="55"/>
  <c r="E42" i="14"/>
  <c r="O14" i="55"/>
  <c r="E45" i="14"/>
  <c r="O130" i="55"/>
  <c r="E49" i="14"/>
  <c r="O86" i="55"/>
  <c r="E53" i="14"/>
  <c r="O93" i="55"/>
  <c r="E57" i="14"/>
  <c r="O81" i="55"/>
  <c r="E65" i="14"/>
  <c r="P20" i="51"/>
  <c r="Q14" i="55" s="1"/>
  <c r="O59" i="55"/>
  <c r="E39" i="14"/>
  <c r="O92" i="55"/>
  <c r="E43" i="14"/>
  <c r="O103" i="55"/>
  <c r="E46" i="14"/>
  <c r="O128" i="55"/>
  <c r="E50" i="14"/>
  <c r="O30" i="55"/>
  <c r="E54" i="14"/>
  <c r="O111" i="55"/>
  <c r="E58" i="14"/>
  <c r="O61" i="55"/>
  <c r="E62" i="14"/>
  <c r="O31" i="55"/>
  <c r="E66" i="14"/>
  <c r="O138" i="55"/>
  <c r="E103" i="14"/>
  <c r="O56" i="55"/>
  <c r="E114" i="14"/>
  <c r="O19" i="55"/>
  <c r="E19" i="14"/>
  <c r="O82" i="55"/>
  <c r="E120" i="14"/>
  <c r="O100" i="55"/>
  <c r="E124" i="14"/>
  <c r="O120" i="55"/>
  <c r="E128" i="14"/>
  <c r="O64" i="55"/>
  <c r="E132" i="14"/>
  <c r="O13" i="55"/>
  <c r="E30" i="14"/>
  <c r="O131" i="55"/>
  <c r="E138" i="14"/>
  <c r="O90" i="55"/>
  <c r="E142" i="14"/>
  <c r="O43" i="55"/>
  <c r="E146" i="14"/>
  <c r="O114" i="55"/>
  <c r="E150" i="14"/>
  <c r="O22" i="55"/>
  <c r="E20" i="14"/>
  <c r="O66" i="55"/>
  <c r="O49" i="55"/>
  <c r="O44" i="55"/>
  <c r="O132" i="55"/>
  <c r="O87" i="55"/>
  <c r="O62" i="55"/>
  <c r="O133" i="55"/>
  <c r="O72" i="55"/>
  <c r="P46" i="51"/>
  <c r="Q95" i="55" s="1"/>
  <c r="O70" i="55"/>
  <c r="O39" i="55"/>
  <c r="O29" i="55"/>
  <c r="O33" i="55"/>
  <c r="O136" i="55"/>
  <c r="O40" i="55"/>
  <c r="O88" i="55"/>
  <c r="O25" i="55"/>
  <c r="O65" i="55"/>
  <c r="O125" i="55"/>
  <c r="O57" i="55"/>
  <c r="O68" i="55"/>
  <c r="O118" i="55"/>
  <c r="O91" i="55"/>
  <c r="O45" i="55"/>
  <c r="O35" i="55"/>
  <c r="P62" i="51"/>
  <c r="Q66" i="55" s="1"/>
  <c r="O42" i="51"/>
  <c r="P101" i="55" s="1"/>
  <c r="P26" i="51"/>
  <c r="Q98" i="55" s="1"/>
  <c r="O36" i="51"/>
  <c r="P63" i="55" s="1"/>
  <c r="O63" i="55"/>
  <c r="O44" i="51"/>
  <c r="P94" i="55" s="1"/>
  <c r="O94" i="55"/>
  <c r="O77" i="55"/>
  <c r="O107" i="55"/>
  <c r="O115" i="55"/>
  <c r="O21" i="55"/>
  <c r="O18" i="55"/>
  <c r="O113" i="55"/>
  <c r="O24" i="55"/>
  <c r="O109" i="55"/>
  <c r="O48" i="55"/>
  <c r="O73" i="55"/>
  <c r="O74" i="55"/>
  <c r="O67" i="55"/>
  <c r="O69" i="55"/>
  <c r="O27" i="55"/>
  <c r="O116" i="55"/>
  <c r="O99" i="55"/>
  <c r="O76" i="55"/>
  <c r="O28" i="55"/>
  <c r="O142" i="55"/>
  <c r="O83" i="55"/>
  <c r="O84" i="55"/>
  <c r="O139" i="55"/>
  <c r="O96" i="55"/>
  <c r="O46" i="55"/>
  <c r="O105" i="55"/>
  <c r="O119" i="55"/>
  <c r="O78" i="55"/>
  <c r="O17" i="55"/>
  <c r="O121" i="55"/>
  <c r="O80" i="55"/>
  <c r="P122" i="51"/>
  <c r="Q45" i="55" s="1"/>
  <c r="O94" i="51"/>
  <c r="P78" i="55" s="1"/>
  <c r="P86" i="51"/>
  <c r="Q44" i="55" s="1"/>
  <c r="P70" i="51"/>
  <c r="Q105" i="55" s="1"/>
  <c r="P38" i="51"/>
  <c r="Q42" i="55" s="1"/>
  <c r="M77" i="31"/>
  <c r="O26" i="55"/>
  <c r="O104" i="55"/>
  <c r="O108" i="55"/>
  <c r="O112" i="55"/>
  <c r="O41" i="55"/>
  <c r="O50" i="55"/>
  <c r="O12" i="55"/>
  <c r="O123" i="55"/>
  <c r="O58" i="55"/>
  <c r="O71" i="55"/>
  <c r="O23" i="55"/>
  <c r="M44" i="31"/>
  <c r="M52" i="31"/>
  <c r="M60" i="31"/>
  <c r="M68" i="31"/>
  <c r="O132" i="51"/>
  <c r="P84" i="55" s="1"/>
  <c r="O124" i="51"/>
  <c r="P142" i="55" s="1"/>
  <c r="P116" i="51"/>
  <c r="Q76" i="55" s="1"/>
  <c r="P100" i="51"/>
  <c r="Q69" i="55" s="1"/>
  <c r="P92" i="51"/>
  <c r="Q74" i="55" s="1"/>
  <c r="P68" i="51"/>
  <c r="Q18" i="55" s="1"/>
  <c r="P52" i="51"/>
  <c r="Q77" i="55" s="1"/>
  <c r="M38" i="31"/>
  <c r="N144" i="51"/>
  <c r="P144" i="51" s="1"/>
  <c r="M42" i="31"/>
  <c r="M46" i="31"/>
  <c r="M50" i="31"/>
  <c r="M54" i="31"/>
  <c r="M58" i="31"/>
  <c r="M62" i="31"/>
  <c r="M66" i="31"/>
  <c r="M70" i="31"/>
  <c r="M74" i="31"/>
  <c r="M78" i="31"/>
  <c r="M40" i="31"/>
  <c r="M48" i="31"/>
  <c r="M56" i="31"/>
  <c r="M64" i="31"/>
  <c r="M72" i="31"/>
  <c r="P140" i="51"/>
  <c r="Q96" i="55" s="1"/>
  <c r="P128" i="51"/>
  <c r="Q83" i="55" s="1"/>
  <c r="O116" i="51"/>
  <c r="P76" i="55" s="1"/>
  <c r="P108" i="51"/>
  <c r="Q116" i="55" s="1"/>
  <c r="O100" i="51"/>
  <c r="P69" i="55" s="1"/>
  <c r="O92" i="51"/>
  <c r="P74" i="55" s="1"/>
  <c r="P76" i="51"/>
  <c r="Q24" i="55" s="1"/>
  <c r="O68" i="51"/>
  <c r="P18" i="55" s="1"/>
  <c r="P60" i="51"/>
  <c r="Q115" i="55" s="1"/>
  <c r="O52" i="51"/>
  <c r="P77" i="55" s="1"/>
  <c r="P22" i="51"/>
  <c r="Q102" i="55" s="1"/>
  <c r="M39" i="31"/>
  <c r="M43" i="31"/>
  <c r="E24" i="14"/>
  <c r="M47" i="31"/>
  <c r="M51" i="31"/>
  <c r="M55" i="31"/>
  <c r="M59" i="31"/>
  <c r="M63" i="31"/>
  <c r="M67" i="31"/>
  <c r="E23" i="14"/>
  <c r="M71" i="31"/>
  <c r="E27" i="14"/>
  <c r="M75" i="31"/>
  <c r="M79" i="31"/>
  <c r="E26" i="14"/>
  <c r="M76" i="31"/>
  <c r="O136" i="51"/>
  <c r="P139" i="55" s="1"/>
  <c r="P132" i="51"/>
  <c r="Q84" i="55" s="1"/>
  <c r="P124" i="51"/>
  <c r="Q142" i="55" s="1"/>
  <c r="P112" i="51"/>
  <c r="Q99" i="55" s="1"/>
  <c r="O84" i="51"/>
  <c r="P48" i="55" s="1"/>
  <c r="P44" i="51"/>
  <c r="Q94" i="55" s="1"/>
  <c r="P36" i="51"/>
  <c r="Q63" i="55" s="1"/>
  <c r="O28" i="51"/>
  <c r="P86" i="55" s="1"/>
  <c r="O12" i="51"/>
  <c r="P54" i="55" s="1"/>
  <c r="M41" i="31"/>
  <c r="M45" i="31"/>
  <c r="M49" i="31"/>
  <c r="M53" i="31"/>
  <c r="M57" i="31"/>
  <c r="M61" i="31"/>
  <c r="M65" i="31"/>
  <c r="M69" i="31"/>
  <c r="E16" i="14"/>
  <c r="E15" i="14" s="1"/>
  <c r="M73" i="31"/>
  <c r="C18" i="35"/>
  <c r="K31" i="12"/>
  <c r="O122" i="51"/>
  <c r="P45" i="55" s="1"/>
  <c r="P98" i="51"/>
  <c r="Q132" i="55" s="1"/>
  <c r="P50" i="51"/>
  <c r="Q106" i="55" s="1"/>
  <c r="P138" i="51"/>
  <c r="Q72" i="55" s="1"/>
  <c r="P130" i="51"/>
  <c r="Q35" i="55" s="1"/>
  <c r="O98" i="51"/>
  <c r="P132" i="55" s="1"/>
  <c r="P74" i="51"/>
  <c r="Q49" i="55" s="1"/>
  <c r="O50" i="51"/>
  <c r="P106" i="55" s="1"/>
  <c r="O138" i="51"/>
  <c r="P72" i="55" s="1"/>
  <c r="O130" i="51"/>
  <c r="P35" i="55" s="1"/>
  <c r="O74" i="51"/>
  <c r="P49" i="55" s="1"/>
  <c r="P34" i="51"/>
  <c r="Q38" i="55" s="1"/>
  <c r="O20" i="51"/>
  <c r="P14" i="55" s="1"/>
  <c r="P106" i="51"/>
  <c r="Q91" i="55" s="1"/>
  <c r="P58" i="51"/>
  <c r="Q46" i="55" s="1"/>
  <c r="O34" i="51"/>
  <c r="P38" i="55" s="1"/>
  <c r="P18" i="51"/>
  <c r="Q51" i="55" s="1"/>
  <c r="B6" i="8"/>
  <c r="O106" i="51"/>
  <c r="P91" i="55" s="1"/>
  <c r="P82" i="51"/>
  <c r="Q119" i="55" s="1"/>
  <c r="O58" i="51"/>
  <c r="P46" i="55" s="1"/>
  <c r="P14" i="51"/>
  <c r="Q140" i="55" s="1"/>
  <c r="P114" i="51"/>
  <c r="Q121" i="55" s="1"/>
  <c r="O82" i="51"/>
  <c r="P119" i="55" s="1"/>
  <c r="P42" i="51"/>
  <c r="Q101" i="55" s="1"/>
  <c r="P12" i="51"/>
  <c r="Q54" i="55" s="1"/>
  <c r="K36" i="12"/>
  <c r="K29" i="12"/>
  <c r="K37" i="12"/>
  <c r="K32" i="12"/>
  <c r="N152" i="51"/>
  <c r="P152" i="51" s="1"/>
  <c r="C7" i="8"/>
  <c r="C6" i="8"/>
  <c r="O128" i="51"/>
  <c r="P83" i="55" s="1"/>
  <c r="P120" i="51"/>
  <c r="Q28" i="55" s="1"/>
  <c r="O86" i="51"/>
  <c r="P44" i="55" s="1"/>
  <c r="O78" i="51"/>
  <c r="P68" i="55" s="1"/>
  <c r="O70" i="51"/>
  <c r="P105" i="55" s="1"/>
  <c r="O62" i="51"/>
  <c r="P66" i="55" s="1"/>
  <c r="O54" i="51"/>
  <c r="P125" i="55" s="1"/>
  <c r="O46" i="51"/>
  <c r="P95" i="55" s="1"/>
  <c r="O38" i="51"/>
  <c r="P42" i="55" s="1"/>
  <c r="O30" i="51"/>
  <c r="P32" i="55" s="1"/>
  <c r="O22" i="51"/>
  <c r="P102" i="55" s="1"/>
  <c r="O14" i="51"/>
  <c r="P140" i="55" s="1"/>
  <c r="O87" i="51"/>
  <c r="P25" i="55" s="1"/>
  <c r="O95" i="51"/>
  <c r="P129" i="55" s="1"/>
  <c r="O103" i="51"/>
  <c r="P52" i="55" s="1"/>
  <c r="O111" i="51"/>
  <c r="P137" i="55" s="1"/>
  <c r="O119" i="51"/>
  <c r="P117" i="55" s="1"/>
  <c r="O127" i="51"/>
  <c r="P135" i="55" s="1"/>
  <c r="O135" i="51"/>
  <c r="P60" i="55" s="1"/>
  <c r="N149" i="51"/>
  <c r="P149" i="51" s="1"/>
  <c r="E7" i="8"/>
  <c r="O89" i="51"/>
  <c r="P71" i="55" s="1"/>
  <c r="O121" i="51"/>
  <c r="P13" i="55" s="1"/>
  <c r="O137" i="51"/>
  <c r="P114" i="55" s="1"/>
  <c r="O126" i="51"/>
  <c r="P133" i="55" s="1"/>
  <c r="P118" i="51"/>
  <c r="Q62" i="55" s="1"/>
  <c r="O104" i="51"/>
  <c r="P27" i="55" s="1"/>
  <c r="P96" i="51"/>
  <c r="Q67" i="55" s="1"/>
  <c r="O10" i="51"/>
  <c r="P97" i="55" s="1"/>
  <c r="N148" i="51"/>
  <c r="E25" i="14"/>
  <c r="O81" i="51"/>
  <c r="P58" i="55" s="1"/>
  <c r="I60" i="12"/>
  <c r="O118" i="51"/>
  <c r="P62" i="55" s="1"/>
  <c r="P110" i="51"/>
  <c r="Q87" i="55" s="1"/>
  <c r="O96" i="51"/>
  <c r="P67" i="55" s="1"/>
  <c r="P88" i="51"/>
  <c r="Q73" i="55" s="1"/>
  <c r="O26" i="51"/>
  <c r="P98" i="55" s="1"/>
  <c r="O18" i="51"/>
  <c r="P51" i="55" s="1"/>
  <c r="O83" i="51"/>
  <c r="P88" i="55" s="1"/>
  <c r="O91" i="51"/>
  <c r="P65" i="55" s="1"/>
  <c r="O99" i="51"/>
  <c r="P75" i="55" s="1"/>
  <c r="O107" i="51"/>
  <c r="P126" i="55" s="1"/>
  <c r="O115" i="51"/>
  <c r="P127" i="55" s="1"/>
  <c r="O123" i="51"/>
  <c r="P89" i="55" s="1"/>
  <c r="O131" i="51"/>
  <c r="P53" i="55" s="1"/>
  <c r="O139" i="51"/>
  <c r="P110" i="55" s="1"/>
  <c r="N153" i="51"/>
  <c r="P153" i="51" s="1"/>
  <c r="P126" i="51"/>
  <c r="Q133" i="55" s="1"/>
  <c r="P104" i="51"/>
  <c r="Q27" i="55" s="1"/>
  <c r="O105" i="51"/>
  <c r="P82" i="55" s="1"/>
  <c r="O110" i="51"/>
  <c r="P87" i="55" s="1"/>
  <c r="P102" i="51"/>
  <c r="Q17" i="55" s="1"/>
  <c r="O88" i="51"/>
  <c r="P73" i="55" s="1"/>
  <c r="P80" i="51"/>
  <c r="Q109" i="55" s="1"/>
  <c r="P72" i="51"/>
  <c r="Q113" i="55" s="1"/>
  <c r="P64" i="51"/>
  <c r="Q21" i="55" s="1"/>
  <c r="P56" i="51"/>
  <c r="Q107" i="55" s="1"/>
  <c r="P48" i="51"/>
  <c r="Q15" i="55" s="1"/>
  <c r="P40" i="51"/>
  <c r="Q81" i="55" s="1"/>
  <c r="P32" i="51"/>
  <c r="Q93" i="55" s="1"/>
  <c r="P24" i="51"/>
  <c r="Q130" i="55" s="1"/>
  <c r="P16" i="51"/>
  <c r="Q122" i="55" s="1"/>
  <c r="N150" i="51"/>
  <c r="P150" i="51" s="1"/>
  <c r="E60" i="12"/>
  <c r="M7" i="8"/>
  <c r="O112" i="51"/>
  <c r="P99" i="55" s="1"/>
  <c r="O97" i="51"/>
  <c r="P56" i="55" s="1"/>
  <c r="O113" i="51"/>
  <c r="P120" i="55" s="1"/>
  <c r="O129" i="51"/>
  <c r="P90" i="55" s="1"/>
  <c r="N151" i="51"/>
  <c r="P151" i="51" s="1"/>
  <c r="P136" i="51"/>
  <c r="Q139" i="55" s="1"/>
  <c r="O102" i="51"/>
  <c r="P17" i="55" s="1"/>
  <c r="P94" i="51"/>
  <c r="Q78" i="55" s="1"/>
  <c r="O80" i="51"/>
  <c r="P109" i="55" s="1"/>
  <c r="O72" i="51"/>
  <c r="P113" i="55" s="1"/>
  <c r="O64" i="51"/>
  <c r="P21" i="55" s="1"/>
  <c r="O56" i="51"/>
  <c r="P107" i="55" s="1"/>
  <c r="O48" i="51"/>
  <c r="P15" i="55" s="1"/>
  <c r="O40" i="51"/>
  <c r="P81" i="55" s="1"/>
  <c r="O32" i="51"/>
  <c r="P93" i="55" s="1"/>
  <c r="O24" i="51"/>
  <c r="P130" i="55" s="1"/>
  <c r="O16" i="51"/>
  <c r="P122" i="55" s="1"/>
  <c r="O85" i="51"/>
  <c r="P138" i="55" s="1"/>
  <c r="O93" i="51"/>
  <c r="P23" i="55" s="1"/>
  <c r="O101" i="51"/>
  <c r="P19" i="55" s="1"/>
  <c r="O109" i="51"/>
  <c r="P100" i="55" s="1"/>
  <c r="O117" i="51"/>
  <c r="P64" i="55" s="1"/>
  <c r="O125" i="51"/>
  <c r="P131" i="55" s="1"/>
  <c r="O133" i="51"/>
  <c r="P43" i="55" s="1"/>
  <c r="O141" i="51"/>
  <c r="P22" i="55" s="1"/>
  <c r="H154" i="51"/>
  <c r="L154" i="51"/>
  <c r="E154" i="51"/>
  <c r="I154" i="51"/>
  <c r="M154" i="51"/>
  <c r="F154" i="51"/>
  <c r="J154" i="51"/>
  <c r="P148" i="51"/>
  <c r="G154" i="51"/>
  <c r="K154" i="51"/>
  <c r="P89" i="51"/>
  <c r="Q71" i="55" s="1"/>
  <c r="O15" i="51"/>
  <c r="P134" i="55" s="1"/>
  <c r="P15" i="51"/>
  <c r="Q134" i="55" s="1"/>
  <c r="O19" i="51"/>
  <c r="P10" i="55" s="1"/>
  <c r="P19" i="51"/>
  <c r="Q10" i="55" s="1"/>
  <c r="O23" i="51"/>
  <c r="P85" i="55" s="1"/>
  <c r="P23" i="51"/>
  <c r="Q85" i="55" s="1"/>
  <c r="O27" i="51"/>
  <c r="P124" i="55" s="1"/>
  <c r="P27" i="51"/>
  <c r="Q124" i="55" s="1"/>
  <c r="O31" i="51"/>
  <c r="P37" i="55" s="1"/>
  <c r="P31" i="51"/>
  <c r="Q37" i="55" s="1"/>
  <c r="O35" i="51"/>
  <c r="P34" i="55" s="1"/>
  <c r="P35" i="51"/>
  <c r="Q34" i="55" s="1"/>
  <c r="O39" i="51"/>
  <c r="P47" i="55" s="1"/>
  <c r="P39" i="51"/>
  <c r="Q47" i="55" s="1"/>
  <c r="O43" i="51"/>
  <c r="P20" i="55" s="1"/>
  <c r="P43" i="51"/>
  <c r="Q20" i="55" s="1"/>
  <c r="O47" i="51"/>
  <c r="P36" i="55" s="1"/>
  <c r="P47" i="51"/>
  <c r="Q36" i="55" s="1"/>
  <c r="O51" i="51"/>
  <c r="P79" i="55" s="1"/>
  <c r="P51" i="51"/>
  <c r="Q79" i="55" s="1"/>
  <c r="O55" i="51"/>
  <c r="P70" i="55" s="1"/>
  <c r="P55" i="51"/>
  <c r="Q70" i="55" s="1"/>
  <c r="O59" i="51"/>
  <c r="P39" i="55" s="1"/>
  <c r="P59" i="51"/>
  <c r="Q39" i="55" s="1"/>
  <c r="O63" i="51"/>
  <c r="P29" i="55" s="1"/>
  <c r="P63" i="51"/>
  <c r="Q29" i="55" s="1"/>
  <c r="O67" i="51"/>
  <c r="P33" i="55" s="1"/>
  <c r="P67" i="51"/>
  <c r="Q33" i="55" s="1"/>
  <c r="O73" i="51"/>
  <c r="P12" i="55" s="1"/>
  <c r="P73" i="51"/>
  <c r="Q12" i="55" s="1"/>
  <c r="O77" i="51"/>
  <c r="P123" i="55" s="1"/>
  <c r="P77" i="51"/>
  <c r="Q123" i="55" s="1"/>
  <c r="P137" i="51"/>
  <c r="Q114" i="55" s="1"/>
  <c r="P129" i="51"/>
  <c r="Q90" i="55" s="1"/>
  <c r="P121" i="51"/>
  <c r="Q13" i="55" s="1"/>
  <c r="P113" i="51"/>
  <c r="Q120" i="55" s="1"/>
  <c r="P105" i="51"/>
  <c r="Q82" i="55" s="1"/>
  <c r="P97" i="51"/>
  <c r="Q56" i="55" s="1"/>
  <c r="P81" i="51"/>
  <c r="Q58" i="55" s="1"/>
  <c r="P139" i="51"/>
  <c r="Q110" i="55" s="1"/>
  <c r="P131" i="51"/>
  <c r="Q53" i="55" s="1"/>
  <c r="P123" i="51"/>
  <c r="Q89" i="55" s="1"/>
  <c r="P115" i="51"/>
  <c r="Q127" i="55" s="1"/>
  <c r="P107" i="51"/>
  <c r="Q126" i="55" s="1"/>
  <c r="P99" i="51"/>
  <c r="Q75" i="55" s="1"/>
  <c r="P91" i="51"/>
  <c r="Q65" i="55" s="1"/>
  <c r="P83" i="51"/>
  <c r="Q88" i="55" s="1"/>
  <c r="O11" i="51"/>
  <c r="P55" i="55" s="1"/>
  <c r="P11" i="51"/>
  <c r="Q55" i="55" s="1"/>
  <c r="O13" i="51"/>
  <c r="P59" i="55" s="1"/>
  <c r="P13" i="51"/>
  <c r="Q59" i="55" s="1"/>
  <c r="O17" i="51"/>
  <c r="P92" i="55" s="1"/>
  <c r="P17" i="51"/>
  <c r="Q92" i="55" s="1"/>
  <c r="O21" i="51"/>
  <c r="P103" i="55" s="1"/>
  <c r="P21" i="51"/>
  <c r="Q103" i="55" s="1"/>
  <c r="O25" i="51"/>
  <c r="P128" i="55" s="1"/>
  <c r="P25" i="51"/>
  <c r="Q128" i="55" s="1"/>
  <c r="O29" i="51"/>
  <c r="P30" i="55" s="1"/>
  <c r="P29" i="51"/>
  <c r="Q30" i="55" s="1"/>
  <c r="O33" i="51"/>
  <c r="P111" i="55" s="1"/>
  <c r="P33" i="51"/>
  <c r="Q111" i="55" s="1"/>
  <c r="O37" i="51"/>
  <c r="P61" i="55" s="1"/>
  <c r="P37" i="51"/>
  <c r="Q61" i="55" s="1"/>
  <c r="O41" i="51"/>
  <c r="P31" i="55" s="1"/>
  <c r="P41" i="51"/>
  <c r="Q31" i="55" s="1"/>
  <c r="O45" i="51"/>
  <c r="P16" i="55" s="1"/>
  <c r="P45" i="51"/>
  <c r="Q16" i="55" s="1"/>
  <c r="O49" i="51"/>
  <c r="P26" i="55" s="1"/>
  <c r="P49" i="51"/>
  <c r="Q26" i="55" s="1"/>
  <c r="O53" i="51"/>
  <c r="P104" i="55" s="1"/>
  <c r="P53" i="51"/>
  <c r="Q104" i="55" s="1"/>
  <c r="O57" i="51"/>
  <c r="P108" i="55" s="1"/>
  <c r="P57" i="51"/>
  <c r="Q108" i="55" s="1"/>
  <c r="O61" i="51"/>
  <c r="P112" i="55" s="1"/>
  <c r="P61" i="51"/>
  <c r="Q112" i="55" s="1"/>
  <c r="O65" i="51"/>
  <c r="P41" i="55" s="1"/>
  <c r="P65" i="51"/>
  <c r="Q41" i="55" s="1"/>
  <c r="O69" i="51"/>
  <c r="P50" i="55" s="1"/>
  <c r="P69" i="51"/>
  <c r="Q50" i="55" s="1"/>
  <c r="O71" i="51"/>
  <c r="P141" i="55" s="1"/>
  <c r="P71" i="51"/>
  <c r="Q141" i="55" s="1"/>
  <c r="O75" i="51"/>
  <c r="P136" i="55" s="1"/>
  <c r="P75" i="51"/>
  <c r="Q136" i="55" s="1"/>
  <c r="O79" i="51"/>
  <c r="P40" i="55" s="1"/>
  <c r="P79" i="51"/>
  <c r="Q40" i="55" s="1"/>
  <c r="P141" i="51"/>
  <c r="Q22" i="55" s="1"/>
  <c r="P133" i="51"/>
  <c r="Q43" i="55" s="1"/>
  <c r="P125" i="51"/>
  <c r="Q131" i="55" s="1"/>
  <c r="P117" i="51"/>
  <c r="Q64" i="55" s="1"/>
  <c r="P109" i="51"/>
  <c r="Q100" i="55" s="1"/>
  <c r="P101" i="51"/>
  <c r="Q19" i="55" s="1"/>
  <c r="P93" i="51"/>
  <c r="Q23" i="55" s="1"/>
  <c r="P85" i="51"/>
  <c r="Q138" i="55" s="1"/>
  <c r="P10" i="51"/>
  <c r="Q97" i="55" s="1"/>
  <c r="K39" i="12"/>
  <c r="K35" i="12"/>
  <c r="H60" i="12"/>
  <c r="D60" i="12"/>
  <c r="K38" i="12"/>
  <c r="K33" i="12"/>
  <c r="F60" i="12"/>
  <c r="G60" i="12"/>
  <c r="C60" i="12"/>
  <c r="K34" i="12"/>
  <c r="K30" i="12"/>
  <c r="J40" i="12"/>
  <c r="K7" i="8"/>
  <c r="G7" i="8"/>
  <c r="H7" i="8"/>
  <c r="L7" i="8"/>
  <c r="K6" i="8"/>
  <c r="F6" i="8"/>
  <c r="J6" i="8"/>
  <c r="F7" i="8"/>
  <c r="G6" i="8"/>
  <c r="J7" i="8"/>
  <c r="D6" i="8"/>
  <c r="H6" i="8"/>
  <c r="L6" i="8"/>
  <c r="N5" i="8"/>
  <c r="E6" i="8"/>
  <c r="I6" i="8"/>
  <c r="M6" i="8"/>
  <c r="O143" i="55" l="1"/>
  <c r="E154" i="14"/>
  <c r="H7" i="14" s="1"/>
  <c r="P143" i="55"/>
  <c r="E34" i="14"/>
  <c r="O144" i="51"/>
  <c r="I41" i="12"/>
  <c r="H8" i="14"/>
  <c r="N78" i="31"/>
  <c r="O78" i="31"/>
  <c r="E22" i="14"/>
  <c r="H9" i="14" s="1"/>
  <c r="N6" i="8"/>
  <c r="N7" i="8"/>
  <c r="O150" i="51"/>
  <c r="K40" i="12"/>
  <c r="O148" i="51"/>
  <c r="O153" i="51"/>
  <c r="O149" i="51"/>
  <c r="K59" i="12"/>
  <c r="O152" i="51"/>
  <c r="O151" i="51"/>
  <c r="N154" i="51"/>
  <c r="P154" i="51" s="1"/>
  <c r="G41" i="12"/>
  <c r="B41" i="12"/>
  <c r="F41" i="12"/>
  <c r="C41" i="12"/>
  <c r="K42" i="12"/>
  <c r="J60" i="12"/>
  <c r="D41" i="12"/>
  <c r="E41" i="12"/>
  <c r="H41" i="12"/>
  <c r="E12" i="14" l="1"/>
  <c r="O154" i="51"/>
  <c r="J41" i="12"/>
  <c r="C18" i="67"/>
  <c r="E18" i="67"/>
  <c r="F18" i="67"/>
  <c r="B18" i="67"/>
  <c r="J7" i="28" l="1"/>
  <c r="L7" i="21"/>
  <c r="M7" i="21" s="1"/>
  <c r="J7" i="21"/>
  <c r="K7" i="21" s="1"/>
  <c r="N7" i="21" l="1"/>
  <c r="J72" i="60" l="1"/>
  <c r="J64" i="60"/>
  <c r="J65" i="60"/>
  <c r="J66" i="60"/>
  <c r="J67" i="60"/>
  <c r="J68" i="60"/>
  <c r="J69" i="60"/>
  <c r="J70" i="60"/>
  <c r="J63" i="60"/>
  <c r="J71" i="60"/>
  <c r="J62" i="60"/>
  <c r="K72" i="60" l="1"/>
  <c r="L72" i="60" s="1"/>
  <c r="N72" i="60"/>
  <c r="O72" i="60" s="1"/>
  <c r="K70" i="60"/>
  <c r="L70" i="60" s="1"/>
  <c r="N70" i="60"/>
  <c r="O70" i="60" s="1"/>
  <c r="K71" i="60"/>
  <c r="N71" i="60"/>
  <c r="O71" i="60" s="1"/>
  <c r="K69" i="60"/>
  <c r="L69" i="60" s="1"/>
  <c r="N69" i="60"/>
  <c r="O69" i="60" s="1"/>
  <c r="K68" i="60"/>
  <c r="N68" i="60"/>
  <c r="O68" i="60" s="1"/>
  <c r="K67" i="60"/>
  <c r="N67" i="60"/>
  <c r="O67" i="60" s="1"/>
  <c r="K66" i="60"/>
  <c r="N66" i="60"/>
  <c r="O66" i="60" s="1"/>
  <c r="K65" i="60"/>
  <c r="N65" i="60"/>
  <c r="O65" i="60" s="1"/>
  <c r="K64" i="60"/>
  <c r="L64" i="60" s="1"/>
  <c r="N64" i="60"/>
  <c r="O64" i="60" s="1"/>
  <c r="K63" i="60"/>
  <c r="N63" i="60"/>
  <c r="O63" i="60" s="1"/>
  <c r="J73" i="60"/>
  <c r="J74" i="60" s="1"/>
  <c r="N62" i="60"/>
  <c r="O62" i="60" s="1"/>
  <c r="L66" i="60"/>
  <c r="L65" i="60"/>
  <c r="K62" i="60"/>
  <c r="L68" i="60"/>
  <c r="L63" i="60"/>
  <c r="L71" i="60"/>
  <c r="L67" i="60"/>
  <c r="K73" i="60" l="1"/>
  <c r="K74" i="60" s="1"/>
  <c r="L62" i="60"/>
  <c r="C15" i="13"/>
  <c r="E15" i="13"/>
  <c r="F15" i="13"/>
  <c r="G15" i="13"/>
  <c r="H15" i="13"/>
  <c r="I15" i="13"/>
  <c r="O32" i="60"/>
  <c r="L73" i="60" l="1"/>
  <c r="O28" i="60"/>
  <c r="O29" i="60"/>
  <c r="O30" i="60"/>
  <c r="O31" i="60"/>
  <c r="O33" i="60"/>
  <c r="O34" i="60"/>
  <c r="O35" i="60"/>
  <c r="N27" i="28"/>
  <c r="B26" i="21"/>
  <c r="B15" i="13"/>
  <c r="J14" i="13" l="1"/>
  <c r="J13" i="13"/>
  <c r="J12" i="13"/>
  <c r="J11" i="13"/>
  <c r="J10" i="13"/>
  <c r="J9" i="13"/>
  <c r="J8" i="13"/>
  <c r="J7" i="13"/>
  <c r="J6" i="13"/>
  <c r="J5" i="13"/>
  <c r="J4" i="13"/>
  <c r="J3" i="13" l="1"/>
  <c r="J15" i="13" s="1"/>
  <c r="B36" i="58" l="1"/>
  <c r="D15" i="13"/>
  <c r="E36" i="58"/>
  <c r="C36" i="58"/>
  <c r="G35" i="58"/>
  <c r="F35" i="58"/>
  <c r="G34" i="58"/>
  <c r="F34" i="58"/>
  <c r="G33" i="58"/>
  <c r="F33" i="58"/>
  <c r="G32" i="58"/>
  <c r="F32" i="58"/>
  <c r="G31" i="58"/>
  <c r="F31" i="58"/>
  <c r="G30" i="58"/>
  <c r="F30" i="58"/>
  <c r="G29" i="58"/>
  <c r="F29" i="58"/>
  <c r="G28" i="58"/>
  <c r="F28" i="58"/>
  <c r="G27" i="58"/>
  <c r="F27" i="58"/>
  <c r="G26" i="58"/>
  <c r="F26" i="58"/>
  <c r="G25" i="58"/>
  <c r="F25" i="58"/>
  <c r="G24" i="58"/>
  <c r="D36" i="58"/>
  <c r="F40" i="66"/>
  <c r="E38" i="66"/>
  <c r="D38" i="66"/>
  <c r="F37" i="66"/>
  <c r="E41" i="66" l="1"/>
  <c r="D41" i="66"/>
  <c r="G36" i="58"/>
  <c r="F24" i="58"/>
  <c r="F36" i="58" s="1"/>
  <c r="D37" i="58" s="1"/>
  <c r="D39" i="66"/>
  <c r="E39" i="66"/>
  <c r="F38" i="66"/>
  <c r="C37" i="58" l="1"/>
  <c r="E37" i="58"/>
  <c r="B37" i="58"/>
  <c r="F37" i="58" s="1"/>
  <c r="F39" i="66"/>
  <c r="F41" i="66"/>
  <c r="C58" i="16"/>
  <c r="D58" i="16"/>
  <c r="E58" i="16"/>
  <c r="F58" i="16"/>
  <c r="G58" i="16"/>
  <c r="H58" i="16"/>
  <c r="I58" i="16"/>
  <c r="J58" i="16"/>
  <c r="K58" i="16"/>
  <c r="L58" i="16"/>
  <c r="M47" i="16"/>
  <c r="M48" i="16"/>
  <c r="M49" i="16"/>
  <c r="M50" i="16"/>
  <c r="M51" i="16"/>
  <c r="M52" i="16"/>
  <c r="M53" i="16"/>
  <c r="M54" i="16"/>
  <c r="M55" i="16"/>
  <c r="M56" i="16"/>
  <c r="M57" i="16"/>
  <c r="E6" i="66"/>
  <c r="G37" i="58" l="1"/>
  <c r="M58" i="16"/>
  <c r="B59" i="16" s="1"/>
  <c r="J59" i="16" l="1"/>
  <c r="E59" i="16"/>
  <c r="L59" i="16"/>
  <c r="D59" i="16"/>
  <c r="I59" i="16"/>
  <c r="K59" i="16"/>
  <c r="C59" i="16"/>
  <c r="O59" i="16" s="1"/>
  <c r="G59" i="16"/>
  <c r="H59" i="16"/>
  <c r="F59" i="16"/>
  <c r="M59" i="16"/>
  <c r="D69" i="12"/>
  <c r="E67" i="12" s="1"/>
  <c r="E68" i="12" l="1"/>
  <c r="E69" i="12" s="1"/>
  <c r="D29" i="23" l="1"/>
  <c r="M8" i="23" l="1"/>
  <c r="D63" i="23" s="1"/>
  <c r="M13" i="23"/>
  <c r="D68" i="23" s="1"/>
  <c r="M15" i="23"/>
  <c r="D70" i="23" s="1"/>
  <c r="M9" i="23"/>
  <c r="D64" i="23" s="1"/>
  <c r="M14" i="23"/>
  <c r="D69" i="23" s="1"/>
  <c r="M6" i="23"/>
  <c r="D61" i="23" s="1"/>
  <c r="M12" i="23"/>
  <c r="D67" i="23" s="1"/>
  <c r="M11" i="23"/>
  <c r="D66" i="23" s="1"/>
  <c r="M10" i="23"/>
  <c r="D65" i="23" s="1"/>
  <c r="M7" i="23"/>
  <c r="D62" i="23" s="1"/>
  <c r="E19" i="23"/>
  <c r="F19" i="23"/>
  <c r="B19" i="23"/>
  <c r="C19" i="23"/>
  <c r="H19" i="23"/>
  <c r="I19" i="23"/>
  <c r="M16" i="23"/>
  <c r="D71" i="23" s="1"/>
  <c r="K19" i="23" l="1"/>
  <c r="D72" i="23"/>
  <c r="L19" i="23"/>
  <c r="B30" i="23"/>
  <c r="B31" i="23"/>
  <c r="B32" i="23"/>
  <c r="B33" i="23"/>
  <c r="B35" i="23"/>
  <c r="B36" i="23"/>
  <c r="B37" i="23"/>
  <c r="B38" i="23"/>
  <c r="B39" i="23"/>
  <c r="N170" i="42"/>
  <c r="N174" i="42" s="1"/>
  <c r="G171" i="42"/>
  <c r="G172" i="42"/>
  <c r="B123" i="42"/>
  <c r="B122" i="42"/>
  <c r="G89" i="42"/>
  <c r="B60" i="42"/>
  <c r="B51" i="42"/>
  <c r="G27" i="42"/>
  <c r="G14" i="42"/>
  <c r="G36" i="42"/>
  <c r="G8" i="42"/>
  <c r="B8" i="42"/>
  <c r="G65" i="42" l="1"/>
  <c r="G68" i="42" s="1"/>
  <c r="C68" i="42" s="1"/>
  <c r="B34" i="23"/>
  <c r="G6" i="34"/>
  <c r="B29" i="23"/>
  <c r="B7" i="34"/>
  <c r="B6" i="34"/>
  <c r="D16" i="34"/>
  <c r="B40" i="23"/>
  <c r="F9" i="14"/>
  <c r="G20" i="42"/>
  <c r="G37" i="42"/>
  <c r="G141" i="42"/>
  <c r="G139" i="42"/>
  <c r="O171" i="42"/>
  <c r="F8" i="14"/>
  <c r="G88" i="42"/>
  <c r="G91" i="42" s="1"/>
  <c r="H94" i="42" s="1"/>
  <c r="G170" i="42"/>
  <c r="G173" i="42" s="1"/>
  <c r="H176" i="42" s="1"/>
  <c r="B121" i="42"/>
  <c r="B124" i="42" s="1"/>
  <c r="H119" i="42" s="1"/>
  <c r="F10" i="14" l="1"/>
  <c r="O172" i="42"/>
  <c r="G142" i="42"/>
  <c r="H145" i="42" s="1"/>
  <c r="G35" i="42"/>
  <c r="G38" i="42" s="1"/>
  <c r="H41" i="42" s="1"/>
  <c r="O170" i="42" l="1"/>
  <c r="O174" i="42" s="1"/>
  <c r="G22" i="1" l="1"/>
  <c r="G23" i="1"/>
  <c r="G24" i="1"/>
  <c r="G25" i="1"/>
  <c r="G26" i="1"/>
  <c r="G27" i="1"/>
  <c r="G28" i="1"/>
  <c r="G29" i="1"/>
  <c r="G30" i="1"/>
  <c r="G31" i="1"/>
  <c r="G32" i="1"/>
  <c r="G21" i="1"/>
  <c r="G33" i="1" l="1"/>
  <c r="F34" i="1" l="1"/>
  <c r="E34" i="1"/>
  <c r="D34" i="1"/>
  <c r="G34" i="1" l="1"/>
  <c r="D18" i="66"/>
  <c r="D21" i="66" s="1"/>
  <c r="C15" i="8"/>
  <c r="D15" i="8"/>
  <c r="E15" i="8"/>
  <c r="F15" i="8"/>
  <c r="G15" i="8"/>
  <c r="H15" i="8"/>
  <c r="I15" i="8"/>
  <c r="J15" i="8"/>
  <c r="K15" i="8"/>
  <c r="L15" i="8"/>
  <c r="M15" i="8"/>
  <c r="N13" i="8"/>
  <c r="N15" i="8" s="1"/>
  <c r="C14" i="8"/>
  <c r="D14" i="8"/>
  <c r="E14" i="8"/>
  <c r="F14" i="8"/>
  <c r="G14" i="8"/>
  <c r="H14" i="8"/>
  <c r="I14" i="8"/>
  <c r="J14" i="8"/>
  <c r="K14" i="8"/>
  <c r="L14" i="8"/>
  <c r="M14" i="8"/>
  <c r="B14" i="8"/>
  <c r="N14" i="8" l="1"/>
  <c r="C33" i="23" l="1"/>
  <c r="C34" i="23"/>
  <c r="C35" i="23"/>
  <c r="C36" i="23"/>
  <c r="C37" i="23"/>
  <c r="C38" i="23"/>
  <c r="C39" i="23"/>
  <c r="C29" i="23" l="1"/>
  <c r="C31" i="23"/>
  <c r="C32" i="23"/>
  <c r="C40" i="23"/>
  <c r="C30" i="23"/>
  <c r="I17" i="67"/>
  <c r="H17" i="67"/>
  <c r="G17" i="67"/>
  <c r="D17" i="67"/>
  <c r="I16" i="67"/>
  <c r="H16" i="67"/>
  <c r="G16" i="67"/>
  <c r="D16" i="67"/>
  <c r="I15" i="67"/>
  <c r="H15" i="67"/>
  <c r="G15" i="67"/>
  <c r="D15" i="67"/>
  <c r="I14" i="67"/>
  <c r="H14" i="67"/>
  <c r="G14" i="67"/>
  <c r="D14" i="67"/>
  <c r="I13" i="67"/>
  <c r="H13" i="67"/>
  <c r="G13" i="67"/>
  <c r="D13" i="67"/>
  <c r="I12" i="67"/>
  <c r="H12" i="67"/>
  <c r="G12" i="67"/>
  <c r="D12" i="67"/>
  <c r="I11" i="67"/>
  <c r="H11" i="67"/>
  <c r="G11" i="67"/>
  <c r="D11" i="67"/>
  <c r="I10" i="67"/>
  <c r="H10" i="67"/>
  <c r="G10" i="67"/>
  <c r="D10" i="67"/>
  <c r="I9" i="67"/>
  <c r="H9" i="67"/>
  <c r="G9" i="67"/>
  <c r="D9" i="67"/>
  <c r="I8" i="67"/>
  <c r="H8" i="67"/>
  <c r="G8" i="67"/>
  <c r="D8" i="67"/>
  <c r="I7" i="67"/>
  <c r="H7" i="67"/>
  <c r="G7" i="67"/>
  <c r="D7" i="67"/>
  <c r="I6" i="67"/>
  <c r="H6" i="67"/>
  <c r="G6" i="67"/>
  <c r="D6" i="67"/>
  <c r="O27" i="60"/>
  <c r="O36" i="60" s="1"/>
  <c r="D36" i="28"/>
  <c r="E35" i="28" s="1"/>
  <c r="B36" i="28"/>
  <c r="D18" i="67" l="1"/>
  <c r="B19" i="67" s="1"/>
  <c r="C36" i="21"/>
  <c r="D37" i="21"/>
  <c r="E34" i="28"/>
  <c r="E36" i="21"/>
  <c r="F37" i="21"/>
  <c r="H37" i="21"/>
  <c r="C35" i="28"/>
  <c r="C34" i="28"/>
  <c r="C36" i="28" s="1"/>
  <c r="G18" i="67"/>
  <c r="F19" i="67" s="1"/>
  <c r="H18" i="67"/>
  <c r="E36" i="28"/>
  <c r="I18" i="67"/>
  <c r="I29" i="23"/>
  <c r="E29" i="23"/>
  <c r="J29" i="23" s="1"/>
  <c r="J7" i="67"/>
  <c r="J9" i="67"/>
  <c r="J11" i="67"/>
  <c r="J13" i="67"/>
  <c r="J15" i="67"/>
  <c r="J8" i="67"/>
  <c r="J10" i="67"/>
  <c r="J12" i="67"/>
  <c r="J14" i="67"/>
  <c r="J16" i="67"/>
  <c r="E19" i="67"/>
  <c r="J17" i="67"/>
  <c r="J6" i="67"/>
  <c r="C19" i="67" l="1"/>
  <c r="K37" i="60"/>
  <c r="F37" i="60"/>
  <c r="C37" i="60"/>
  <c r="J50" i="60"/>
  <c r="H37" i="60"/>
  <c r="I37" i="60"/>
  <c r="B37" i="60"/>
  <c r="J18" i="67"/>
  <c r="B20" i="67" s="1"/>
  <c r="G19" i="67"/>
  <c r="E37" i="60"/>
  <c r="L37" i="60"/>
  <c r="D19" i="67"/>
  <c r="D37" i="60" l="1"/>
  <c r="J37" i="60"/>
  <c r="D50" i="60"/>
  <c r="E38" i="60"/>
  <c r="B38" i="60"/>
  <c r="M37" i="60"/>
  <c r="H38" i="60"/>
  <c r="E20" i="67"/>
  <c r="H20" i="67" s="1"/>
  <c r="I19" i="67"/>
  <c r="H19" i="67"/>
  <c r="K38" i="60" l="1"/>
  <c r="J19" i="67"/>
  <c r="G19" i="12"/>
  <c r="F19" i="12"/>
  <c r="C19" i="12"/>
  <c r="H18" i="12"/>
  <c r="D18" i="12"/>
  <c r="B16" i="58" s="1"/>
  <c r="H17" i="12"/>
  <c r="D17" i="12"/>
  <c r="B15" i="58" s="1"/>
  <c r="H16" i="12"/>
  <c r="D16" i="12"/>
  <c r="B14" i="58" s="1"/>
  <c r="H15" i="12"/>
  <c r="D15" i="12"/>
  <c r="B13" i="58" s="1"/>
  <c r="H14" i="12"/>
  <c r="D14" i="12"/>
  <c r="B12" i="58" s="1"/>
  <c r="H13" i="12"/>
  <c r="D13" i="12"/>
  <c r="B11" i="58" s="1"/>
  <c r="H12" i="12"/>
  <c r="D12" i="12"/>
  <c r="B10" i="58" s="1"/>
  <c r="H11" i="12"/>
  <c r="D11" i="12"/>
  <c r="B9" i="58" s="1"/>
  <c r="H10" i="12"/>
  <c r="D10" i="12"/>
  <c r="B8" i="58" s="1"/>
  <c r="H9" i="12"/>
  <c r="D9" i="12"/>
  <c r="B7" i="58" s="1"/>
  <c r="H8" i="12"/>
  <c r="D8" i="12"/>
  <c r="B6" i="58" s="1"/>
  <c r="H7" i="12"/>
  <c r="D5" i="58" s="1"/>
  <c r="D7" i="12"/>
  <c r="B5" i="58" s="1"/>
  <c r="D7" i="34"/>
  <c r="E7" i="34"/>
  <c r="F7" i="34"/>
  <c r="G7" i="34"/>
  <c r="H7" i="34"/>
  <c r="I7" i="34"/>
  <c r="J7" i="34"/>
  <c r="K7" i="34"/>
  <c r="L7" i="34"/>
  <c r="M7" i="34"/>
  <c r="C7" i="34"/>
  <c r="D6" i="34"/>
  <c r="E6" i="34"/>
  <c r="F6" i="34"/>
  <c r="H6" i="34"/>
  <c r="I6" i="34"/>
  <c r="J6" i="34"/>
  <c r="K6" i="34"/>
  <c r="L6" i="34"/>
  <c r="M6" i="34"/>
  <c r="C6" i="34"/>
  <c r="C62" i="23" l="1"/>
  <c r="D6" i="58"/>
  <c r="C64" i="23"/>
  <c r="D8" i="58"/>
  <c r="C66" i="23"/>
  <c r="D10" i="58"/>
  <c r="C68" i="23"/>
  <c r="D12" i="58"/>
  <c r="C70" i="23"/>
  <c r="D14" i="58"/>
  <c r="D16" i="58"/>
  <c r="C63" i="23"/>
  <c r="D7" i="58"/>
  <c r="C65" i="23"/>
  <c r="D9" i="58"/>
  <c r="C67" i="23"/>
  <c r="D11" i="58"/>
  <c r="C69" i="23"/>
  <c r="D13" i="58"/>
  <c r="C71" i="23"/>
  <c r="D15" i="58"/>
  <c r="M67" i="12"/>
  <c r="C72" i="23"/>
  <c r="N6" i="34"/>
  <c r="N7" i="34"/>
  <c r="C22" i="12"/>
  <c r="G22" i="12"/>
  <c r="F29" i="23"/>
  <c r="G29" i="23" s="1"/>
  <c r="F30" i="23"/>
  <c r="F31" i="23"/>
  <c r="F32" i="23"/>
  <c r="F33" i="23"/>
  <c r="F34" i="23"/>
  <c r="F35" i="23"/>
  <c r="F36" i="23"/>
  <c r="F37" i="23"/>
  <c r="F38" i="23"/>
  <c r="F39" i="23"/>
  <c r="F40" i="23"/>
  <c r="H19" i="12"/>
  <c r="D19" i="12"/>
  <c r="B20" i="12" s="1"/>
  <c r="E11" i="12"/>
  <c r="E9" i="12"/>
  <c r="E10" i="12"/>
  <c r="E12" i="12"/>
  <c r="E13" i="12"/>
  <c r="E14" i="12"/>
  <c r="E15" i="12"/>
  <c r="E16" i="12"/>
  <c r="E17" i="12"/>
  <c r="E18" i="12"/>
  <c r="I8" i="12"/>
  <c r="I9" i="12"/>
  <c r="I10" i="12"/>
  <c r="I11" i="12"/>
  <c r="I12" i="12"/>
  <c r="I13" i="12"/>
  <c r="I14" i="12"/>
  <c r="I15" i="12"/>
  <c r="I16" i="12"/>
  <c r="I17" i="12"/>
  <c r="I18" i="12"/>
  <c r="E8" i="12"/>
  <c r="I7" i="12"/>
  <c r="E7" i="12"/>
  <c r="F14" i="66"/>
  <c r="B15" i="8"/>
  <c r="M68" i="12" l="1"/>
  <c r="M69" i="12" s="1"/>
  <c r="F20" i="12"/>
  <c r="B21" i="23"/>
  <c r="G20" i="12"/>
  <c r="B16" i="13"/>
  <c r="C20" i="12"/>
  <c r="D20" i="12" s="1"/>
  <c r="I19" i="12"/>
  <c r="C16" i="13"/>
  <c r="J16" i="13"/>
  <c r="F16" i="13"/>
  <c r="G16" i="13"/>
  <c r="H16" i="13"/>
  <c r="D16" i="13"/>
  <c r="I16" i="13"/>
  <c r="E16" i="13"/>
  <c r="F69" i="12"/>
  <c r="H69" i="12"/>
  <c r="I67" i="12" s="1"/>
  <c r="E19" i="12"/>
  <c r="F10" i="66"/>
  <c r="E10" i="66"/>
  <c r="E13" i="66"/>
  <c r="F13" i="66"/>
  <c r="G14" i="66" s="1"/>
  <c r="F8" i="66"/>
  <c r="E8" i="66"/>
  <c r="E9" i="66"/>
  <c r="F9" i="66"/>
  <c r="E7" i="66"/>
  <c r="F7" i="66"/>
  <c r="F6" i="66"/>
  <c r="E17" i="66"/>
  <c r="F17" i="66"/>
  <c r="E11" i="66"/>
  <c r="F11" i="66"/>
  <c r="F12" i="66"/>
  <c r="E12" i="66"/>
  <c r="F16" i="66"/>
  <c r="E16" i="66"/>
  <c r="E15" i="66"/>
  <c r="F15" i="66"/>
  <c r="G15" i="66" s="1"/>
  <c r="E14" i="66"/>
  <c r="G19" i="28"/>
  <c r="F19" i="28"/>
  <c r="C19" i="28"/>
  <c r="B19" i="28"/>
  <c r="L18" i="28"/>
  <c r="J18" i="28"/>
  <c r="L17" i="28"/>
  <c r="J17" i="28"/>
  <c r="L16" i="28"/>
  <c r="J16" i="28"/>
  <c r="L15" i="28"/>
  <c r="J15" i="28"/>
  <c r="L14" i="28"/>
  <c r="J14" i="28"/>
  <c r="L13" i="28"/>
  <c r="J13" i="28"/>
  <c r="L12" i="28"/>
  <c r="J12" i="28"/>
  <c r="L11" i="28"/>
  <c r="J11" i="28"/>
  <c r="L10" i="28"/>
  <c r="J10" i="28"/>
  <c r="L9" i="28"/>
  <c r="J9" i="28"/>
  <c r="L8" i="28"/>
  <c r="J8" i="28"/>
  <c r="L7" i="28"/>
  <c r="K7" i="28"/>
  <c r="H20" i="12" l="1"/>
  <c r="G67" i="12"/>
  <c r="K67" i="12"/>
  <c r="K68" i="12"/>
  <c r="I7" i="28"/>
  <c r="I8" i="28"/>
  <c r="C61" i="23"/>
  <c r="C73" i="23" s="1"/>
  <c r="H36" i="28"/>
  <c r="L19" i="28"/>
  <c r="M9" i="28"/>
  <c r="M10" i="28"/>
  <c r="M11" i="28"/>
  <c r="M12" i="28"/>
  <c r="M13" i="28"/>
  <c r="M14" i="28"/>
  <c r="M15" i="28"/>
  <c r="M16" i="28"/>
  <c r="M17" i="28"/>
  <c r="M18" i="28"/>
  <c r="K8" i="28"/>
  <c r="J19" i="28"/>
  <c r="I68" i="12"/>
  <c r="K9" i="28"/>
  <c r="K10" i="28"/>
  <c r="K11" i="28"/>
  <c r="K12" i="28"/>
  <c r="K13" i="28"/>
  <c r="K14" i="28"/>
  <c r="K15" i="28"/>
  <c r="K16" i="28"/>
  <c r="K17" i="28"/>
  <c r="K18" i="28"/>
  <c r="B21" i="12"/>
  <c r="F21" i="12"/>
  <c r="D19" i="28"/>
  <c r="C20" i="28" s="1"/>
  <c r="H19" i="28"/>
  <c r="H21" i="23" s="1"/>
  <c r="N7" i="28"/>
  <c r="B26" i="28" s="1"/>
  <c r="M7" i="28"/>
  <c r="N8" i="28"/>
  <c r="C26" i="28" s="1"/>
  <c r="N9" i="28"/>
  <c r="N10" i="28"/>
  <c r="N12" i="28"/>
  <c r="G26" i="28" s="1"/>
  <c r="N13" i="28"/>
  <c r="H26" i="28" s="1"/>
  <c r="N14" i="28"/>
  <c r="I26" i="28" s="1"/>
  <c r="N16" i="28"/>
  <c r="K26" i="28" s="1"/>
  <c r="N17" i="28"/>
  <c r="L26" i="28" s="1"/>
  <c r="N18" i="28"/>
  <c r="M26" i="28" s="1"/>
  <c r="G68" i="12"/>
  <c r="G7" i="66"/>
  <c r="G16" i="66"/>
  <c r="G11" i="66"/>
  <c r="E18" i="66"/>
  <c r="G13" i="66"/>
  <c r="C18" i="66"/>
  <c r="G8" i="66"/>
  <c r="G12" i="66"/>
  <c r="G17" i="66"/>
  <c r="F18" i="66"/>
  <c r="B19" i="66" s="1"/>
  <c r="G9" i="66"/>
  <c r="G10" i="66"/>
  <c r="N11" i="28"/>
  <c r="F26" i="28" s="1"/>
  <c r="N15" i="28"/>
  <c r="M8" i="28"/>
  <c r="K69" i="12" l="1"/>
  <c r="I35" i="28"/>
  <c r="I34" i="28"/>
  <c r="K19" i="28"/>
  <c r="M19" i="28"/>
  <c r="F20" i="28"/>
  <c r="O15" i="28"/>
  <c r="J26" i="28"/>
  <c r="O7" i="28"/>
  <c r="E26" i="28"/>
  <c r="D26" i="28"/>
  <c r="B20" i="28"/>
  <c r="D20" i="28" s="1"/>
  <c r="O11" i="28"/>
  <c r="O17" i="28"/>
  <c r="O13" i="28"/>
  <c r="O9" i="28"/>
  <c r="E19" i="28"/>
  <c r="I19" i="28"/>
  <c r="O12" i="28"/>
  <c r="G20" i="28"/>
  <c r="O8" i="28"/>
  <c r="O18" i="28"/>
  <c r="O10" i="28"/>
  <c r="O14" i="28"/>
  <c r="G69" i="12"/>
  <c r="I69" i="12"/>
  <c r="N19" i="28"/>
  <c r="L20" i="28" s="1"/>
  <c r="D19" i="66"/>
  <c r="F19" i="66" s="1"/>
  <c r="O16" i="28"/>
  <c r="I36" i="28" l="1"/>
  <c r="H20" i="28"/>
  <c r="O19" i="28"/>
  <c r="J20" i="28"/>
  <c r="J21" i="28" s="1"/>
  <c r="F21" i="28"/>
  <c r="N26" i="28"/>
  <c r="F36" i="28"/>
  <c r="B21" i="28"/>
  <c r="G34" i="28" l="1"/>
  <c r="L36" i="28"/>
  <c r="M35" i="28" s="1"/>
  <c r="G35" i="28"/>
  <c r="G36" i="28" s="1"/>
  <c r="B19" i="21"/>
  <c r="M34" i="28" l="1"/>
  <c r="M36" i="28" s="1"/>
  <c r="D30" i="23"/>
  <c r="H30" i="23" s="1"/>
  <c r="D31" i="23"/>
  <c r="G31" i="23" s="1"/>
  <c r="H31" i="23" s="1"/>
  <c r="D32" i="23"/>
  <c r="G32" i="23" s="1"/>
  <c r="H32" i="23" s="1"/>
  <c r="D33" i="23"/>
  <c r="G33" i="23" s="1"/>
  <c r="H33" i="23" s="1"/>
  <c r="D34" i="23"/>
  <c r="G34" i="23" s="1"/>
  <c r="H34" i="23" s="1"/>
  <c r="D35" i="23"/>
  <c r="G35" i="23" s="1"/>
  <c r="H35" i="23" s="1"/>
  <c r="D36" i="23"/>
  <c r="G36" i="23" s="1"/>
  <c r="H36" i="23" s="1"/>
  <c r="D37" i="23"/>
  <c r="G37" i="23" s="1"/>
  <c r="H37" i="23" s="1"/>
  <c r="D38" i="23"/>
  <c r="G38" i="23" s="1"/>
  <c r="H38" i="23" s="1"/>
  <c r="D39" i="23"/>
  <c r="G39" i="23" s="1"/>
  <c r="H39" i="23" s="1"/>
  <c r="D40" i="23"/>
  <c r="G40" i="23" l="1"/>
  <c r="H40" i="23" s="1"/>
  <c r="I18" i="21"/>
  <c r="J18" i="21"/>
  <c r="G19" i="21"/>
  <c r="F19" i="21"/>
  <c r="C19" i="21"/>
  <c r="L18" i="21"/>
  <c r="L17" i="21"/>
  <c r="J17" i="21"/>
  <c r="L16" i="21"/>
  <c r="J16" i="21"/>
  <c r="L15" i="21"/>
  <c r="J15" i="21"/>
  <c r="L14" i="21"/>
  <c r="J14" i="21"/>
  <c r="L13" i="21"/>
  <c r="J13" i="21"/>
  <c r="L12" i="21"/>
  <c r="J12" i="21"/>
  <c r="L11" i="21"/>
  <c r="J11" i="21"/>
  <c r="L10" i="21"/>
  <c r="J10" i="21"/>
  <c r="L9" i="21"/>
  <c r="J9" i="21"/>
  <c r="L8" i="21"/>
  <c r="J8" i="21"/>
  <c r="K8" i="21" s="1"/>
  <c r="I8" i="21"/>
  <c r="C18" i="23"/>
  <c r="D18" i="23"/>
  <c r="E18" i="23"/>
  <c r="F18" i="23"/>
  <c r="G18" i="23"/>
  <c r="H18" i="23"/>
  <c r="I18" i="23"/>
  <c r="J18" i="23"/>
  <c r="K18" i="23"/>
  <c r="L18" i="23"/>
  <c r="M18" i="23"/>
  <c r="D73" i="23" s="1"/>
  <c r="B18" i="23"/>
  <c r="H22" i="23" l="1"/>
  <c r="B22" i="23"/>
  <c r="L42" i="23"/>
  <c r="M42" i="23"/>
  <c r="E18" i="21"/>
  <c r="H19" i="21"/>
  <c r="E9" i="21"/>
  <c r="H20" i="23"/>
  <c r="E20" i="23"/>
  <c r="D19" i="21"/>
  <c r="B20" i="21" s="1"/>
  <c r="J19" i="21"/>
  <c r="N18" i="21"/>
  <c r="M26" i="21" s="1"/>
  <c r="L19" i="21"/>
  <c r="I10" i="21"/>
  <c r="I9" i="21"/>
  <c r="I11" i="21"/>
  <c r="I12" i="21"/>
  <c r="E8" i="21"/>
  <c r="E10" i="21"/>
  <c r="K10" i="21"/>
  <c r="E11" i="21"/>
  <c r="K11" i="21"/>
  <c r="E12" i="21"/>
  <c r="K12" i="21"/>
  <c r="E13" i="21"/>
  <c r="K13" i="21"/>
  <c r="E14" i="21"/>
  <c r="K14" i="21"/>
  <c r="K15" i="21"/>
  <c r="K16" i="21"/>
  <c r="K17" i="21"/>
  <c r="K18" i="21"/>
  <c r="K9" i="21"/>
  <c r="N8" i="21"/>
  <c r="N9" i="21"/>
  <c r="D26" i="21" s="1"/>
  <c r="N10" i="21"/>
  <c r="E26" i="21" s="1"/>
  <c r="N11" i="21"/>
  <c r="F26" i="21" s="1"/>
  <c r="N12" i="21"/>
  <c r="G26" i="21" s="1"/>
  <c r="N13" i="21"/>
  <c r="H26" i="21" s="1"/>
  <c r="N14" i="21"/>
  <c r="I26" i="21" s="1"/>
  <c r="N15" i="21"/>
  <c r="J26" i="21" s="1"/>
  <c r="N16" i="21"/>
  <c r="K26" i="21" s="1"/>
  <c r="N17" i="21"/>
  <c r="L26" i="21" s="1"/>
  <c r="M8" i="21"/>
  <c r="M9" i="21"/>
  <c r="M10" i="21"/>
  <c r="M11" i="21"/>
  <c r="M12" i="21"/>
  <c r="M13" i="21"/>
  <c r="M14" i="21"/>
  <c r="M15" i="21"/>
  <c r="M16" i="21"/>
  <c r="M17" i="21"/>
  <c r="M18" i="21"/>
  <c r="O7" i="21"/>
  <c r="F20" i="21" l="1"/>
  <c r="E21" i="23"/>
  <c r="G20" i="21"/>
  <c r="H20" i="21" s="1"/>
  <c r="E19" i="21"/>
  <c r="K19" i="21"/>
  <c r="O8" i="21"/>
  <c r="C26" i="21"/>
  <c r="M19" i="21"/>
  <c r="I19" i="21"/>
  <c r="C20" i="21"/>
  <c r="D20" i="21" s="1"/>
  <c r="O10" i="21"/>
  <c r="O16" i="21"/>
  <c r="O12" i="21"/>
  <c r="O17" i="21"/>
  <c r="O15" i="21"/>
  <c r="O13" i="21"/>
  <c r="O11" i="21"/>
  <c r="O9" i="21"/>
  <c r="O18" i="21"/>
  <c r="O14" i="21"/>
  <c r="N19" i="21"/>
  <c r="M35" i="21" l="1"/>
  <c r="K21" i="23"/>
  <c r="K22" i="23" s="1"/>
  <c r="E22" i="23"/>
  <c r="I36" i="21"/>
  <c r="O19" i="21"/>
  <c r="B21" i="21"/>
  <c r="F21" i="21"/>
  <c r="J20" i="21"/>
  <c r="L20" i="21"/>
  <c r="M36" i="21" l="1"/>
  <c r="J21" i="21"/>
  <c r="M19" i="23"/>
  <c r="J19" i="23"/>
  <c r="D19" i="23"/>
  <c r="G19" i="23"/>
  <c r="H18" i="60" l="1"/>
  <c r="D18" i="60"/>
  <c r="F18" i="60"/>
  <c r="E18" i="60"/>
  <c r="B18" i="60"/>
  <c r="C18" i="60"/>
  <c r="G18" i="60"/>
  <c r="C17" i="58" l="1"/>
  <c r="D17" i="58"/>
  <c r="E17" i="58"/>
  <c r="B17" i="58"/>
  <c r="G5" i="58" l="1"/>
  <c r="G6" i="58"/>
  <c r="G7" i="58"/>
  <c r="G8" i="58"/>
  <c r="G9" i="58"/>
  <c r="G10" i="58"/>
  <c r="G11" i="58"/>
  <c r="G12" i="58"/>
  <c r="G13" i="58"/>
  <c r="G14" i="58"/>
  <c r="G15" i="58"/>
  <c r="G16" i="58"/>
  <c r="F6" i="58"/>
  <c r="F7" i="58"/>
  <c r="F8" i="58"/>
  <c r="F9" i="58"/>
  <c r="F10" i="58"/>
  <c r="F11" i="58"/>
  <c r="F12" i="58"/>
  <c r="F13" i="58"/>
  <c r="F14" i="58"/>
  <c r="F15" i="58"/>
  <c r="F16" i="58"/>
  <c r="F5" i="58"/>
  <c r="F17" i="58" l="1"/>
  <c r="B18" i="58" s="1"/>
  <c r="G17" i="58"/>
  <c r="D18" i="58" l="1"/>
  <c r="F18" i="58" s="1"/>
  <c r="E18" i="58"/>
  <c r="C18" i="58"/>
  <c r="G18" i="58" l="1"/>
  <c r="E39" i="23" l="1"/>
  <c r="J39" i="23" s="1"/>
  <c r="I39" i="23"/>
  <c r="I32" i="23"/>
  <c r="E32" i="23"/>
  <c r="J32" i="23" s="1"/>
  <c r="E38" i="23"/>
  <c r="J38" i="23" s="1"/>
  <c r="I38" i="23"/>
  <c r="E37" i="23"/>
  <c r="J37" i="23" s="1"/>
  <c r="I37" i="23"/>
  <c r="I40" i="23"/>
  <c r="E40" i="23"/>
  <c r="I36" i="23"/>
  <c r="E36" i="23"/>
  <c r="J36" i="23" s="1"/>
  <c r="E34" i="23"/>
  <c r="J34" i="23" s="1"/>
  <c r="I34" i="23"/>
  <c r="E31" i="23"/>
  <c r="J31" i="23" s="1"/>
  <c r="I31" i="23"/>
  <c r="J40" i="23" l="1"/>
  <c r="E30" i="23"/>
  <c r="J30" i="23" s="1"/>
  <c r="I30" i="23"/>
  <c r="E35" i="23"/>
  <c r="J35" i="23" s="1"/>
  <c r="I35" i="23"/>
  <c r="E33" i="23"/>
  <c r="J33" i="23" s="1"/>
  <c r="I33" i="23"/>
  <c r="I41" i="23" l="1"/>
  <c r="J41" i="23" l="1"/>
  <c r="M41" i="23"/>
  <c r="R142" i="55"/>
  <c r="A141" i="55"/>
  <c r="A140" i="55"/>
  <c r="A139" i="55"/>
  <c r="A138" i="55"/>
  <c r="A137" i="55"/>
  <c r="A136" i="55"/>
  <c r="A135" i="55"/>
  <c r="A134" i="55"/>
  <c r="A133" i="55"/>
  <c r="A132" i="55"/>
  <c r="A131" i="55"/>
  <c r="A130" i="55"/>
  <c r="A129" i="55"/>
  <c r="A128" i="55"/>
  <c r="A127" i="55"/>
  <c r="A126" i="55"/>
  <c r="A125" i="55"/>
  <c r="A124" i="55"/>
  <c r="A123" i="55"/>
  <c r="A122" i="55"/>
  <c r="A121" i="55"/>
  <c r="A120" i="55"/>
  <c r="A119" i="55"/>
  <c r="A118" i="55"/>
  <c r="A117" i="55"/>
  <c r="A116" i="55"/>
  <c r="A115" i="55"/>
  <c r="A114" i="55"/>
  <c r="A113" i="55"/>
  <c r="A112" i="55"/>
  <c r="A111" i="55"/>
  <c r="A110" i="55"/>
  <c r="A109" i="55"/>
  <c r="A108" i="55"/>
  <c r="A107" i="55"/>
  <c r="A106" i="55"/>
  <c r="A105" i="55"/>
  <c r="A104" i="55"/>
  <c r="A103" i="55"/>
  <c r="A102" i="55"/>
  <c r="A101" i="55"/>
  <c r="A100" i="55"/>
  <c r="A99" i="55"/>
  <c r="A98" i="55"/>
  <c r="A97" i="55"/>
  <c r="A96" i="55"/>
  <c r="A95" i="55"/>
  <c r="A94" i="55"/>
  <c r="A93" i="55"/>
  <c r="A92" i="55"/>
  <c r="A91" i="55"/>
  <c r="A90" i="55"/>
  <c r="A89" i="55"/>
  <c r="A88" i="55"/>
  <c r="A87" i="55"/>
  <c r="A86" i="55"/>
  <c r="A85" i="55"/>
  <c r="A84" i="55"/>
  <c r="A83" i="55"/>
  <c r="A82" i="55"/>
  <c r="A81" i="55"/>
  <c r="A80" i="55"/>
  <c r="A79" i="55"/>
  <c r="A78" i="55"/>
  <c r="A77" i="55"/>
  <c r="A76" i="55"/>
  <c r="A75" i="55"/>
  <c r="A74" i="55"/>
  <c r="A73" i="55"/>
  <c r="A72" i="55"/>
  <c r="A71" i="55"/>
  <c r="B70" i="55"/>
  <c r="B71" i="55" s="1"/>
  <c r="B72" i="55" s="1"/>
  <c r="B73" i="55" s="1"/>
  <c r="B74" i="55" s="1"/>
  <c r="B75" i="55" s="1"/>
  <c r="B76" i="55" s="1"/>
  <c r="B77" i="55" s="1"/>
  <c r="B78" i="55" s="1"/>
  <c r="B79" i="55" s="1"/>
  <c r="B80" i="55" s="1"/>
  <c r="B81" i="55" s="1"/>
  <c r="B82" i="55" s="1"/>
  <c r="B83" i="55" s="1"/>
  <c r="B84" i="55" s="1"/>
  <c r="B85" i="55" s="1"/>
  <c r="B86" i="55" s="1"/>
  <c r="B87" i="55" s="1"/>
  <c r="B88" i="55" s="1"/>
  <c r="B89" i="55" s="1"/>
  <c r="B90" i="55" s="1"/>
  <c r="B91" i="55" s="1"/>
  <c r="B92" i="55" s="1"/>
  <c r="B93" i="55" s="1"/>
  <c r="B94" i="55" s="1"/>
  <c r="B95" i="55" s="1"/>
  <c r="B96" i="55" s="1"/>
  <c r="B97" i="55" s="1"/>
  <c r="B98" i="55" s="1"/>
  <c r="B99" i="55" s="1"/>
  <c r="B100" i="55" s="1"/>
  <c r="B101" i="55" s="1"/>
  <c r="B102" i="55" s="1"/>
  <c r="B103" i="55" s="1"/>
  <c r="B104" i="55" s="1"/>
  <c r="B105" i="55" s="1"/>
  <c r="B106" i="55" s="1"/>
  <c r="B107" i="55" s="1"/>
  <c r="B108" i="55" s="1"/>
  <c r="B109" i="55" s="1"/>
  <c r="B110" i="55" s="1"/>
  <c r="B111" i="55" s="1"/>
  <c r="B112" i="55" s="1"/>
  <c r="B113" i="55" s="1"/>
  <c r="B114" i="55" s="1"/>
  <c r="B115" i="55" s="1"/>
  <c r="B116" i="55" s="1"/>
  <c r="B117" i="55" s="1"/>
  <c r="B118" i="55" s="1"/>
  <c r="B119" i="55" s="1"/>
  <c r="B120" i="55" s="1"/>
  <c r="B121" i="55" s="1"/>
  <c r="B122" i="55" s="1"/>
  <c r="B123" i="55" s="1"/>
  <c r="B124" i="55" s="1"/>
  <c r="B125" i="55" s="1"/>
  <c r="B126" i="55" s="1"/>
  <c r="B127" i="55" s="1"/>
  <c r="B128" i="55" s="1"/>
  <c r="B129" i="55" s="1"/>
  <c r="B130" i="55" s="1"/>
  <c r="B131" i="55" s="1"/>
  <c r="B132" i="55" s="1"/>
  <c r="B133" i="55" s="1"/>
  <c r="B134" i="55" s="1"/>
  <c r="B135" i="55" s="1"/>
  <c r="B136" i="55" s="1"/>
  <c r="B137" i="55" s="1"/>
  <c r="B138" i="55" s="1"/>
  <c r="B139" i="55" s="1"/>
  <c r="B140" i="55" s="1"/>
  <c r="B141" i="55" s="1"/>
  <c r="A70" i="55"/>
  <c r="A69" i="55"/>
  <c r="A68" i="55"/>
  <c r="A67" i="55"/>
  <c r="A66" i="55"/>
  <c r="A65" i="55"/>
  <c r="A64" i="55"/>
  <c r="A63" i="55"/>
  <c r="B62" i="55"/>
  <c r="B63" i="55" s="1"/>
  <c r="B64" i="55" s="1"/>
  <c r="B65" i="55" s="1"/>
  <c r="B66" i="55" s="1"/>
  <c r="B67" i="55" s="1"/>
  <c r="B68" i="55" s="1"/>
  <c r="B69" i="55" s="1"/>
  <c r="A62" i="55"/>
  <c r="A61" i="55"/>
  <c r="A60" i="55"/>
  <c r="A59" i="55"/>
  <c r="A58" i="55"/>
  <c r="A57" i="55"/>
  <c r="A56" i="55"/>
  <c r="A55" i="55"/>
  <c r="A54" i="55"/>
  <c r="A53" i="55"/>
  <c r="A52" i="55"/>
  <c r="A51" i="55"/>
  <c r="A50" i="55"/>
  <c r="A49" i="55"/>
  <c r="A48" i="55"/>
  <c r="A47" i="55"/>
  <c r="A46" i="55"/>
  <c r="A45" i="55"/>
  <c r="A44" i="55"/>
  <c r="A43" i="55"/>
  <c r="A42" i="55"/>
  <c r="A41" i="55"/>
  <c r="A40" i="55"/>
  <c r="A39" i="55"/>
  <c r="A38" i="55"/>
  <c r="A37" i="55"/>
  <c r="A36" i="55"/>
  <c r="A35" i="55"/>
  <c r="A34" i="55"/>
  <c r="A33" i="55"/>
  <c r="A32" i="55"/>
  <c r="A31" i="55"/>
  <c r="A30" i="55"/>
  <c r="A29" i="55"/>
  <c r="A28" i="55"/>
  <c r="A27" i="55"/>
  <c r="A26" i="55"/>
  <c r="A25" i="55"/>
  <c r="A24" i="55"/>
  <c r="A23" i="55"/>
  <c r="A22" i="55"/>
  <c r="A21" i="55"/>
  <c r="A20" i="55"/>
  <c r="A19" i="55"/>
  <c r="A18" i="55"/>
  <c r="A17" i="55"/>
  <c r="A16" i="55"/>
  <c r="A15" i="55"/>
  <c r="A14" i="55"/>
  <c r="A13" i="55"/>
  <c r="A12" i="55"/>
  <c r="A11" i="55"/>
  <c r="B10" i="55"/>
  <c r="B11" i="55" s="1"/>
  <c r="B12" i="55" s="1"/>
  <c r="B13" i="55" s="1"/>
  <c r="B14" i="55" s="1"/>
  <c r="B15" i="55" s="1"/>
  <c r="B16" i="55" s="1"/>
  <c r="B17" i="55" s="1"/>
  <c r="B18" i="55" s="1"/>
  <c r="B19" i="55" s="1"/>
  <c r="B20" i="55" s="1"/>
  <c r="B21" i="55" s="1"/>
  <c r="B22" i="55" s="1"/>
  <c r="B23" i="55" s="1"/>
  <c r="B24" i="55" s="1"/>
  <c r="B25" i="55" s="1"/>
  <c r="B26" i="55" s="1"/>
  <c r="B27" i="55" s="1"/>
  <c r="B28" i="55" s="1"/>
  <c r="B29" i="55" s="1"/>
  <c r="B30" i="55" s="1"/>
  <c r="B31" i="55" s="1"/>
  <c r="B32" i="55" s="1"/>
  <c r="B33" i="55" s="1"/>
  <c r="B34" i="55" s="1"/>
  <c r="B35" i="55" s="1"/>
  <c r="B36" i="55" s="1"/>
  <c r="B37" i="55" s="1"/>
  <c r="B38" i="55" s="1"/>
  <c r="B39" i="55" s="1"/>
  <c r="B40" i="55" s="1"/>
  <c r="B41" i="55" s="1"/>
  <c r="B42" i="55" s="1"/>
  <c r="B43" i="55" s="1"/>
  <c r="B44" i="55" s="1"/>
  <c r="B45" i="55" s="1"/>
  <c r="B46" i="55" s="1"/>
  <c r="B47" i="55" s="1"/>
  <c r="B48" i="55" s="1"/>
  <c r="B49" i="55" s="1"/>
  <c r="B50" i="55" s="1"/>
  <c r="B51" i="55" s="1"/>
  <c r="B52" i="55" s="1"/>
  <c r="B53" i="55" s="1"/>
  <c r="B54" i="55" s="1"/>
  <c r="B55" i="55" s="1"/>
  <c r="B56" i="55" s="1"/>
  <c r="B57" i="55" s="1"/>
  <c r="B58" i="55" s="1"/>
  <c r="B59" i="55" s="1"/>
  <c r="B60" i="55" s="1"/>
  <c r="B61" i="55" s="1"/>
  <c r="A10" i="55"/>
  <c r="L1" i="55"/>
  <c r="F1" i="55"/>
  <c r="A141" i="51" l="1"/>
  <c r="A140" i="51"/>
  <c r="A139" i="51"/>
  <c r="A138" i="51"/>
  <c r="A137" i="51"/>
  <c r="A136" i="51"/>
  <c r="A135" i="51"/>
  <c r="A134" i="51"/>
  <c r="A133" i="51"/>
  <c r="A132" i="51"/>
  <c r="A131" i="51"/>
  <c r="A130" i="51"/>
  <c r="A129" i="51"/>
  <c r="A128" i="51"/>
  <c r="A127" i="51"/>
  <c r="A126" i="51"/>
  <c r="A125" i="51"/>
  <c r="A124" i="51"/>
  <c r="A123" i="51"/>
  <c r="A122" i="51"/>
  <c r="A121" i="51"/>
  <c r="A120" i="51"/>
  <c r="A119" i="51"/>
  <c r="A118" i="51"/>
  <c r="A117" i="51"/>
  <c r="A116" i="51"/>
  <c r="A115" i="51"/>
  <c r="A114" i="51"/>
  <c r="A113" i="51"/>
  <c r="A112" i="51"/>
  <c r="A111" i="51"/>
  <c r="A110" i="51"/>
  <c r="A109" i="51"/>
  <c r="A108" i="51"/>
  <c r="A107" i="51"/>
  <c r="A106" i="51"/>
  <c r="A105" i="51"/>
  <c r="A104" i="51"/>
  <c r="A103" i="51"/>
  <c r="A102" i="51"/>
  <c r="A101" i="51"/>
  <c r="A100" i="51"/>
  <c r="A99" i="51"/>
  <c r="A98" i="51"/>
  <c r="A97" i="51"/>
  <c r="A96" i="51"/>
  <c r="A95" i="51"/>
  <c r="A94" i="51"/>
  <c r="A93" i="51"/>
  <c r="A92" i="51"/>
  <c r="A91" i="51"/>
  <c r="A90" i="51"/>
  <c r="A89" i="51"/>
  <c r="A88" i="51"/>
  <c r="A87" i="51"/>
  <c r="A86" i="51"/>
  <c r="A85" i="51"/>
  <c r="A84" i="51"/>
  <c r="A83" i="51"/>
  <c r="A82" i="51"/>
  <c r="A81" i="51"/>
  <c r="A80" i="51"/>
  <c r="A79" i="51"/>
  <c r="A78" i="51"/>
  <c r="A77" i="51"/>
  <c r="A76" i="51"/>
  <c r="A75" i="51"/>
  <c r="A74" i="51"/>
  <c r="A73" i="51"/>
  <c r="A72" i="51"/>
  <c r="A71" i="51"/>
  <c r="A70" i="51"/>
  <c r="A69" i="51"/>
  <c r="A68" i="51"/>
  <c r="A67" i="51"/>
  <c r="A66" i="51"/>
  <c r="A65" i="51"/>
  <c r="A64" i="51"/>
  <c r="A63" i="51"/>
  <c r="A62" i="51"/>
  <c r="A61" i="51"/>
  <c r="A60" i="51"/>
  <c r="A59" i="51"/>
  <c r="A58" i="51"/>
  <c r="A57" i="51"/>
  <c r="A56" i="51"/>
  <c r="A55" i="51"/>
  <c r="A54" i="51"/>
  <c r="A53" i="51"/>
  <c r="A52" i="51"/>
  <c r="A51" i="51"/>
  <c r="A50" i="51"/>
  <c r="A49" i="51"/>
  <c r="A48" i="51"/>
  <c r="A47" i="51"/>
  <c r="A46" i="51"/>
  <c r="A45" i="51"/>
  <c r="A44" i="51"/>
  <c r="A43" i="51"/>
  <c r="A42" i="51"/>
  <c r="A41" i="51"/>
  <c r="A40" i="51"/>
  <c r="A39" i="51"/>
  <c r="A38" i="51"/>
  <c r="A37" i="51"/>
  <c r="A36" i="51"/>
  <c r="A35" i="51"/>
  <c r="A34" i="51"/>
  <c r="A33" i="51"/>
  <c r="A32" i="51"/>
  <c r="A31" i="51"/>
  <c r="A30" i="51"/>
  <c r="A29" i="51"/>
  <c r="A28" i="51"/>
  <c r="A27" i="51"/>
  <c r="A26" i="51"/>
  <c r="A25" i="51"/>
  <c r="A24" i="51"/>
  <c r="A23" i="51"/>
  <c r="A22" i="51"/>
  <c r="A21" i="51"/>
  <c r="A20" i="51"/>
  <c r="A19" i="51"/>
  <c r="A18" i="51"/>
  <c r="A17" i="51"/>
  <c r="A16" i="51"/>
  <c r="A15" i="51"/>
  <c r="A14" i="51"/>
  <c r="A13" i="51"/>
  <c r="A12" i="51"/>
  <c r="A11" i="51"/>
  <c r="A10" i="51"/>
  <c r="N102" i="31" l="1"/>
  <c r="N101" i="31"/>
  <c r="O105" i="31"/>
  <c r="O104" i="31"/>
  <c r="O108" i="31"/>
  <c r="N103" i="31"/>
  <c r="O107" i="31"/>
  <c r="N111" i="31"/>
  <c r="O111" i="31"/>
  <c r="N105" i="31"/>
  <c r="O102" i="31" l="1"/>
  <c r="N107" i="31"/>
  <c r="O101" i="31"/>
  <c r="O103" i="31"/>
  <c r="N104" i="31"/>
  <c r="N108" i="31"/>
  <c r="N106" i="31"/>
  <c r="O106" i="31"/>
  <c r="N110" i="31"/>
  <c r="O110" i="31"/>
  <c r="F80" i="31" l="1"/>
  <c r="E80" i="31"/>
  <c r="D80" i="31"/>
  <c r="D9" i="31" s="1"/>
  <c r="J80" i="31"/>
  <c r="K80" i="31"/>
  <c r="D112" i="31"/>
  <c r="G112" i="31"/>
  <c r="G80" i="31"/>
  <c r="J112" i="31"/>
  <c r="K112" i="31"/>
  <c r="H112" i="31"/>
  <c r="F112" i="31"/>
  <c r="E112" i="31"/>
  <c r="H80" i="31"/>
  <c r="D19" i="34" l="1"/>
  <c r="L80" i="31" l="1"/>
  <c r="L112" i="31"/>
  <c r="N151" i="31" l="1"/>
  <c r="N154" i="31"/>
  <c r="N159" i="31"/>
  <c r="N186" i="31"/>
  <c r="N152" i="31"/>
  <c r="N177" i="31"/>
  <c r="N180" i="31"/>
  <c r="N147" i="31"/>
  <c r="N176" i="31"/>
  <c r="N178" i="31"/>
  <c r="N181" i="31"/>
  <c r="N189" i="31"/>
  <c r="N175" i="31"/>
  <c r="N156" i="31"/>
  <c r="N160" i="31"/>
  <c r="N182" i="31"/>
  <c r="N157" i="31"/>
  <c r="N173" i="31"/>
  <c r="N174" i="31"/>
  <c r="N188" i="31"/>
  <c r="N158" i="31"/>
  <c r="N184" i="31"/>
  <c r="N149" i="31"/>
  <c r="N190" i="31"/>
  <c r="N150" i="31"/>
  <c r="N187" i="31"/>
  <c r="N155" i="31"/>
  <c r="N179" i="31"/>
  <c r="N185" i="31"/>
  <c r="N153" i="31"/>
  <c r="N183" i="31"/>
  <c r="N148" i="31"/>
  <c r="N172" i="31" l="1"/>
  <c r="O172" i="31"/>
  <c r="I80" i="31"/>
  <c r="M80" i="31"/>
  <c r="I112" i="31"/>
  <c r="M112" i="31"/>
  <c r="G153" i="1" l="1"/>
  <c r="G145" i="35"/>
  <c r="G146" i="27"/>
  <c r="G153" i="8"/>
  <c r="K223" i="31" l="1"/>
  <c r="K14" i="31" s="1"/>
  <c r="J223" i="31"/>
  <c r="H223" i="31"/>
  <c r="H14" i="31" s="1"/>
  <c r="G223" i="31"/>
  <c r="G14" i="31" s="1"/>
  <c r="D223" i="31"/>
  <c r="D14" i="31" s="1"/>
  <c r="K191" i="31"/>
  <c r="K13" i="31" s="1"/>
  <c r="J191" i="31"/>
  <c r="J13" i="31" s="1"/>
  <c r="H191" i="31"/>
  <c r="H13" i="31" s="1"/>
  <c r="G191" i="31"/>
  <c r="G13" i="31" s="1"/>
  <c r="D191" i="31"/>
  <c r="D13" i="31" s="1"/>
  <c r="K161" i="31"/>
  <c r="K12" i="31" s="1"/>
  <c r="J161" i="31"/>
  <c r="J12" i="31" s="1"/>
  <c r="H161" i="31"/>
  <c r="H12" i="31" s="1"/>
  <c r="G161" i="31"/>
  <c r="G12" i="31" s="1"/>
  <c r="D161" i="31"/>
  <c r="L161" i="31"/>
  <c r="L12" i="31" s="1"/>
  <c r="I161" i="31"/>
  <c r="I12" i="31" s="1"/>
  <c r="K138" i="31"/>
  <c r="K11" i="31" s="1"/>
  <c r="J138" i="31"/>
  <c r="J11" i="31" s="1"/>
  <c r="H138" i="31"/>
  <c r="H11" i="31" s="1"/>
  <c r="G138" i="31"/>
  <c r="G11" i="31" s="1"/>
  <c r="D138" i="31"/>
  <c r="D11" i="31" s="1"/>
  <c r="L138" i="31"/>
  <c r="L11" i="31" s="1"/>
  <c r="H10" i="31"/>
  <c r="G10" i="31"/>
  <c r="L10" i="31"/>
  <c r="K9" i="31"/>
  <c r="J9" i="31"/>
  <c r="H9" i="31"/>
  <c r="G9" i="31"/>
  <c r="J14" i="31"/>
  <c r="K10" i="31"/>
  <c r="J10" i="31"/>
  <c r="E16" i="34"/>
  <c r="B19" i="34"/>
  <c r="C14" i="34" s="1"/>
  <c r="D11" i="27"/>
  <c r="E9" i="27" s="1"/>
  <c r="C11" i="27"/>
  <c r="D10" i="14"/>
  <c r="E9" i="14" s="1"/>
  <c r="C10" i="1"/>
  <c r="D9" i="1" s="1"/>
  <c r="E10" i="27" l="1"/>
  <c r="E6" i="27"/>
  <c r="E8" i="27"/>
  <c r="E8" i="14"/>
  <c r="E7" i="14"/>
  <c r="E5" i="27"/>
  <c r="E7" i="27"/>
  <c r="E10" i="31"/>
  <c r="I10" i="31"/>
  <c r="C17" i="34"/>
  <c r="D12" i="31"/>
  <c r="E138" i="31"/>
  <c r="E11" i="31" s="1"/>
  <c r="D10" i="31"/>
  <c r="O203" i="31"/>
  <c r="O205" i="31"/>
  <c r="O207" i="31"/>
  <c r="O209" i="31"/>
  <c r="O210" i="31"/>
  <c r="O211" i="31"/>
  <c r="O216" i="31"/>
  <c r="O212" i="31"/>
  <c r="O175" i="31"/>
  <c r="O177" i="31"/>
  <c r="O180" i="31"/>
  <c r="O188" i="31"/>
  <c r="O151" i="31"/>
  <c r="O91" i="31"/>
  <c r="N92" i="31"/>
  <c r="O94" i="31"/>
  <c r="O95" i="31"/>
  <c r="O96" i="31"/>
  <c r="O98" i="31"/>
  <c r="O43" i="31"/>
  <c r="O56" i="31"/>
  <c r="N57" i="31"/>
  <c r="O59" i="31"/>
  <c r="N60" i="31"/>
  <c r="N61" i="31"/>
  <c r="O63" i="31"/>
  <c r="O64" i="31"/>
  <c r="O65" i="31"/>
  <c r="O67" i="31"/>
  <c r="O71" i="31"/>
  <c r="O42" i="31"/>
  <c r="O46" i="31"/>
  <c r="O51" i="31"/>
  <c r="F9" i="31"/>
  <c r="O218" i="31"/>
  <c r="O219" i="31"/>
  <c r="O222" i="31"/>
  <c r="L191" i="31"/>
  <c r="L13" i="31" s="1"/>
  <c r="O173" i="31"/>
  <c r="O174" i="31"/>
  <c r="O152" i="31"/>
  <c r="O155" i="31"/>
  <c r="O99" i="31"/>
  <c r="O68" i="31"/>
  <c r="N54" i="31"/>
  <c r="O55" i="31"/>
  <c r="O58" i="31"/>
  <c r="N70" i="31"/>
  <c r="O39" i="31"/>
  <c r="O40" i="31"/>
  <c r="N41" i="31"/>
  <c r="O74" i="31"/>
  <c r="O47" i="31"/>
  <c r="O48" i="31"/>
  <c r="N49" i="31"/>
  <c r="C16" i="34"/>
  <c r="C18" i="34"/>
  <c r="E18" i="34"/>
  <c r="C15" i="34"/>
  <c r="E14" i="34"/>
  <c r="E17" i="34"/>
  <c r="E15" i="34"/>
  <c r="L223" i="31"/>
  <c r="L14" i="31" s="1"/>
  <c r="O215" i="31"/>
  <c r="E223" i="31"/>
  <c r="E14" i="31" s="1"/>
  <c r="F223" i="31"/>
  <c r="F14" i="31" s="1"/>
  <c r="O208" i="31"/>
  <c r="I223" i="31"/>
  <c r="I14" i="31" s="1"/>
  <c r="O178" i="31"/>
  <c r="O179" i="31"/>
  <c r="O181" i="31"/>
  <c r="O182" i="31"/>
  <c r="O185" i="31"/>
  <c r="O187" i="31"/>
  <c r="F191" i="31"/>
  <c r="F13" i="31" s="1"/>
  <c r="I191" i="31"/>
  <c r="I13" i="31" s="1"/>
  <c r="O184" i="31"/>
  <c r="E191" i="31"/>
  <c r="E13" i="31" s="1"/>
  <c r="O159" i="31"/>
  <c r="O160" i="31"/>
  <c r="E161" i="31"/>
  <c r="E12" i="31" s="1"/>
  <c r="O158" i="31"/>
  <c r="O123" i="31"/>
  <c r="O125" i="31"/>
  <c r="N126" i="31"/>
  <c r="O127" i="31"/>
  <c r="O128" i="31"/>
  <c r="O129" i="31"/>
  <c r="N131" i="31"/>
  <c r="N132" i="31"/>
  <c r="O133" i="31"/>
  <c r="O135" i="31"/>
  <c r="O136" i="31"/>
  <c r="N137" i="31"/>
  <c r="O124" i="31"/>
  <c r="N130" i="31"/>
  <c r="N134" i="31"/>
  <c r="O100" i="31"/>
  <c r="O90" i="31"/>
  <c r="N93" i="31"/>
  <c r="F10" i="31"/>
  <c r="N97" i="31"/>
  <c r="O52" i="31"/>
  <c r="N53" i="31"/>
  <c r="N69" i="31"/>
  <c r="L9" i="31"/>
  <c r="O44" i="31"/>
  <c r="N72" i="31"/>
  <c r="N73" i="31"/>
  <c r="O75" i="31"/>
  <c r="O76" i="31"/>
  <c r="O77" i="31"/>
  <c r="N40" i="31"/>
  <c r="O49" i="31"/>
  <c r="N50" i="31"/>
  <c r="O66" i="31"/>
  <c r="N62" i="31"/>
  <c r="O79" i="31"/>
  <c r="J15" i="31"/>
  <c r="J113" i="31" s="1"/>
  <c r="G15" i="31"/>
  <c r="K15" i="31"/>
  <c r="K113" i="31" s="1"/>
  <c r="H15" i="31"/>
  <c r="H113" i="31" s="1"/>
  <c r="O41" i="31"/>
  <c r="O60" i="31"/>
  <c r="I138" i="31"/>
  <c r="F161" i="31"/>
  <c r="O206" i="31"/>
  <c r="O214" i="31"/>
  <c r="O221" i="31"/>
  <c r="F138" i="31"/>
  <c r="O220" i="31"/>
  <c r="D8" i="1"/>
  <c r="D10" i="1" s="1"/>
  <c r="E10" i="14" l="1"/>
  <c r="P10" i="15"/>
  <c r="E11" i="27"/>
  <c r="G81" i="31"/>
  <c r="G113" i="31"/>
  <c r="K224" i="31"/>
  <c r="K81" i="31"/>
  <c r="J26" i="31"/>
  <c r="J81" i="31"/>
  <c r="H25" i="31"/>
  <c r="H81" i="31"/>
  <c r="N96" i="31"/>
  <c r="O131" i="31"/>
  <c r="N99" i="31"/>
  <c r="N77" i="31"/>
  <c r="O72" i="31"/>
  <c r="N63" i="31"/>
  <c r="O70" i="31"/>
  <c r="G27" i="31"/>
  <c r="C19" i="34"/>
  <c r="O150" i="31"/>
  <c r="O50" i="31"/>
  <c r="O92" i="31"/>
  <c r="O217" i="31"/>
  <c r="O54" i="31"/>
  <c r="N46" i="31"/>
  <c r="N98" i="31"/>
  <c r="N65" i="31"/>
  <c r="N43" i="31"/>
  <c r="N68" i="31"/>
  <c r="D15" i="31"/>
  <c r="O189" i="31"/>
  <c r="N90" i="31"/>
  <c r="O97" i="31"/>
  <c r="O61" i="31"/>
  <c r="N136" i="31"/>
  <c r="O126" i="31"/>
  <c r="O137" i="31"/>
  <c r="O130" i="31"/>
  <c r="O69" i="31"/>
  <c r="O176" i="31"/>
  <c r="N75" i="31"/>
  <c r="N56" i="31"/>
  <c r="N51" i="31"/>
  <c r="N127" i="31"/>
  <c r="N67" i="31"/>
  <c r="O154" i="31"/>
  <c r="N74" i="31"/>
  <c r="O134" i="31"/>
  <c r="O132" i="31"/>
  <c r="N94" i="31"/>
  <c r="O153" i="31"/>
  <c r="O213" i="31"/>
  <c r="N55" i="31"/>
  <c r="N39" i="31"/>
  <c r="N95" i="31"/>
  <c r="N76" i="31"/>
  <c r="N47" i="31"/>
  <c r="O57" i="31"/>
  <c r="O53" i="31"/>
  <c r="N71" i="31"/>
  <c r="N124" i="31"/>
  <c r="N135" i="31"/>
  <c r="N129" i="31"/>
  <c r="N125" i="31"/>
  <c r="O190" i="31"/>
  <c r="O183" i="31"/>
  <c r="J29" i="31"/>
  <c r="M138" i="31"/>
  <c r="O138" i="31" s="1"/>
  <c r="N133" i="31"/>
  <c r="N128" i="31"/>
  <c r="N123" i="31"/>
  <c r="N91" i="31"/>
  <c r="N100" i="31"/>
  <c r="O112" i="31"/>
  <c r="O93" i="31"/>
  <c r="L15" i="31"/>
  <c r="L113" i="31" s="1"/>
  <c r="O62" i="31"/>
  <c r="O73" i="31"/>
  <c r="N59" i="31"/>
  <c r="N79" i="31"/>
  <c r="N64" i="31"/>
  <c r="N48" i="31"/>
  <c r="N52" i="31"/>
  <c r="N42" i="31"/>
  <c r="N58" i="31"/>
  <c r="N44" i="31"/>
  <c r="G157" i="34"/>
  <c r="O149" i="31"/>
  <c r="K192" i="31"/>
  <c r="K162" i="31"/>
  <c r="J192" i="31"/>
  <c r="J162" i="31"/>
  <c r="K139" i="31"/>
  <c r="H192" i="31"/>
  <c r="J139" i="31"/>
  <c r="G159" i="28"/>
  <c r="E19" i="34"/>
  <c r="O186" i="31"/>
  <c r="J224" i="31"/>
  <c r="H224" i="31"/>
  <c r="O147" i="31"/>
  <c r="M161" i="31"/>
  <c r="O161" i="31" s="1"/>
  <c r="O148" i="31"/>
  <c r="O156" i="31"/>
  <c r="O157" i="31"/>
  <c r="H162" i="31"/>
  <c r="N45" i="31"/>
  <c r="O45" i="31"/>
  <c r="G162" i="31"/>
  <c r="G139" i="31"/>
  <c r="H30" i="31"/>
  <c r="N66" i="31"/>
  <c r="G192" i="31"/>
  <c r="G224" i="31"/>
  <c r="H139" i="31"/>
  <c r="O202" i="31"/>
  <c r="M223" i="31"/>
  <c r="I11" i="31"/>
  <c r="I9" i="31"/>
  <c r="H29" i="31"/>
  <c r="G29" i="31"/>
  <c r="K28" i="31"/>
  <c r="M191" i="31"/>
  <c r="O38" i="31"/>
  <c r="N38" i="31"/>
  <c r="J28" i="31"/>
  <c r="K26" i="31"/>
  <c r="G28" i="31"/>
  <c r="F11" i="31"/>
  <c r="E9" i="31"/>
  <c r="K30" i="31"/>
  <c r="J30" i="31"/>
  <c r="J25" i="31"/>
  <c r="H27" i="31"/>
  <c r="G26" i="31"/>
  <c r="K27" i="31"/>
  <c r="K25" i="31"/>
  <c r="F12" i="31"/>
  <c r="N112" i="31"/>
  <c r="M10" i="31"/>
  <c r="G30" i="31"/>
  <c r="K29" i="31"/>
  <c r="J27" i="31"/>
  <c r="H26" i="31"/>
  <c r="H28" i="31"/>
  <c r="G25" i="31"/>
  <c r="P6" i="15" l="1"/>
  <c r="P23" i="15"/>
  <c r="P24" i="15"/>
  <c r="P5" i="15"/>
  <c r="P9" i="15"/>
  <c r="P8" i="15"/>
  <c r="P22" i="15"/>
  <c r="P13" i="15"/>
  <c r="P15" i="15"/>
  <c r="P19" i="15"/>
  <c r="P20" i="15"/>
  <c r="P14" i="15"/>
  <c r="P18" i="15"/>
  <c r="P21" i="15"/>
  <c r="P16" i="15"/>
  <c r="G138" i="21"/>
  <c r="E15" i="31"/>
  <c r="E81" i="31" s="1"/>
  <c r="D113" i="31"/>
  <c r="D81" i="31"/>
  <c r="L224" i="31"/>
  <c r="L81" i="31"/>
  <c r="D224" i="31"/>
  <c r="D139" i="31"/>
  <c r="L28" i="31"/>
  <c r="M11" i="31"/>
  <c r="D30" i="31"/>
  <c r="D26" i="31"/>
  <c r="D162" i="31"/>
  <c r="K16" i="31"/>
  <c r="L162" i="31"/>
  <c r="D25" i="31"/>
  <c r="D192" i="31"/>
  <c r="D16" i="31"/>
  <c r="D29" i="31"/>
  <c r="D27" i="31"/>
  <c r="D28" i="31"/>
  <c r="J9" i="14"/>
  <c r="N138" i="31"/>
  <c r="N11" i="31" s="1"/>
  <c r="N223" i="31"/>
  <c r="N14" i="31" s="1"/>
  <c r="J16" i="31"/>
  <c r="L29" i="31"/>
  <c r="L139" i="31"/>
  <c r="L30" i="31"/>
  <c r="L25" i="31"/>
  <c r="L27" i="31"/>
  <c r="N191" i="31"/>
  <c r="N13" i="31" s="1"/>
  <c r="M12" i="31"/>
  <c r="L26" i="31"/>
  <c r="L192" i="31"/>
  <c r="N80" i="31"/>
  <c r="N9" i="31" s="1"/>
  <c r="N161" i="31"/>
  <c r="N12" i="31" s="1"/>
  <c r="H31" i="31"/>
  <c r="G31" i="31"/>
  <c r="K31" i="31"/>
  <c r="J31" i="31"/>
  <c r="N10" i="31"/>
  <c r="F15" i="31"/>
  <c r="F113" i="31" s="1"/>
  <c r="O191" i="31"/>
  <c r="M13" i="31"/>
  <c r="O12" i="31"/>
  <c r="O11" i="31"/>
  <c r="O10" i="31"/>
  <c r="O80" i="31"/>
  <c r="M9" i="31"/>
  <c r="I15" i="31"/>
  <c r="O223" i="31"/>
  <c r="M14" i="31"/>
  <c r="J8" i="14"/>
  <c r="K20" i="23" l="1"/>
  <c r="I81" i="31"/>
  <c r="I113" i="31"/>
  <c r="E113" i="31"/>
  <c r="F27" i="31"/>
  <c r="F81" i="31"/>
  <c r="D31" i="31"/>
  <c r="L16" i="31"/>
  <c r="L31" i="31"/>
  <c r="F28" i="31"/>
  <c r="I162" i="31"/>
  <c r="I192" i="31"/>
  <c r="I29" i="31"/>
  <c r="I30" i="31"/>
  <c r="I224" i="31"/>
  <c r="I28" i="31"/>
  <c r="I26" i="31"/>
  <c r="I139" i="31"/>
  <c r="G16" i="31"/>
  <c r="H16" i="31"/>
  <c r="I27" i="31"/>
  <c r="M15" i="31"/>
  <c r="E27" i="31"/>
  <c r="E29" i="31"/>
  <c r="E30" i="31"/>
  <c r="E28" i="31"/>
  <c r="E224" i="31"/>
  <c r="E162" i="31"/>
  <c r="E26" i="31"/>
  <c r="E139" i="31"/>
  <c r="E192" i="31"/>
  <c r="N15" i="31"/>
  <c r="N30" i="31" s="1"/>
  <c r="O14" i="31"/>
  <c r="F25" i="31"/>
  <c r="F30" i="31"/>
  <c r="F224" i="31"/>
  <c r="F29" i="31"/>
  <c r="F192" i="31"/>
  <c r="F26" i="31"/>
  <c r="F162" i="31"/>
  <c r="F139" i="31"/>
  <c r="I25" i="31"/>
  <c r="O9" i="31"/>
  <c r="O13" i="31"/>
  <c r="E25" i="31"/>
  <c r="M113" i="31" l="1"/>
  <c r="R25" i="31"/>
  <c r="O81" i="31" s="1"/>
  <c r="H117" i="15"/>
  <c r="M81" i="31"/>
  <c r="G17" i="31"/>
  <c r="M29" i="31"/>
  <c r="E31" i="31"/>
  <c r="N26" i="31"/>
  <c r="F31" i="31"/>
  <c r="E16" i="31"/>
  <c r="I31" i="31"/>
  <c r="F16" i="31"/>
  <c r="M25" i="31"/>
  <c r="N162" i="31"/>
  <c r="N113" i="31"/>
  <c r="N28" i="31"/>
  <c r="N81" i="31"/>
  <c r="N224" i="31"/>
  <c r="N139" i="31"/>
  <c r="N192" i="31"/>
  <c r="N29" i="31"/>
  <c r="N25" i="31"/>
  <c r="N27" i="31"/>
  <c r="I16" i="31"/>
  <c r="O15" i="31"/>
  <c r="M162" i="31"/>
  <c r="J17" i="31"/>
  <c r="M139" i="31"/>
  <c r="M27" i="31"/>
  <c r="M28" i="31"/>
  <c r="M26" i="31"/>
  <c r="M224" i="31"/>
  <c r="M192" i="31"/>
  <c r="M30" i="31"/>
  <c r="H10" i="14" l="1"/>
  <c r="M16" i="31"/>
  <c r="C7" i="1"/>
  <c r="E17" i="31"/>
  <c r="M31" i="31"/>
  <c r="N31" i="31"/>
  <c r="O162" i="31"/>
  <c r="O139" i="31"/>
  <c r="O113" i="31"/>
  <c r="O224" i="31"/>
  <c r="O192" i="31"/>
  <c r="G7" i="14"/>
  <c r="J7" i="14" l="1"/>
  <c r="D4" i="1"/>
  <c r="D6" i="1"/>
  <c r="C11" i="1"/>
  <c r="D5" i="1"/>
  <c r="G8" i="14"/>
  <c r="G9" i="14"/>
  <c r="I7" i="14" l="1"/>
  <c r="J10" i="14"/>
  <c r="I9" i="14"/>
  <c r="I8" i="14"/>
  <c r="E8" i="1"/>
  <c r="E5" i="1"/>
  <c r="E6" i="1"/>
  <c r="E10" i="1"/>
  <c r="E9" i="1"/>
  <c r="E4" i="1"/>
  <c r="E7" i="1"/>
  <c r="G10" i="14"/>
  <c r="I10" i="14" l="1"/>
  <c r="E11" i="1"/>
  <c r="K1" i="51" l="1"/>
  <c r="E1" i="51"/>
  <c r="M19" i="12" l="1"/>
  <c r="G6" i="66"/>
  <c r="G18" i="66" s="1"/>
  <c r="P18" i="23"/>
  <c r="B24" i="23" s="1"/>
  <c r="S7" i="23"/>
  <c r="S18" i="23" s="1"/>
  <c r="K24" i="23" l="1"/>
  <c r="E25" i="23" l="1"/>
  <c r="H25" i="23"/>
  <c r="K25" i="23" l="1"/>
</calcChain>
</file>

<file path=xl/sharedStrings.xml><?xml version="1.0" encoding="utf-8"?>
<sst xmlns="http://schemas.openxmlformats.org/spreadsheetml/2006/main" count="2622" uniqueCount="947">
  <si>
    <t>Regional</t>
  </si>
  <si>
    <t>Departamentos</t>
  </si>
  <si>
    <t>Central</t>
  </si>
  <si>
    <t>Occidente</t>
  </si>
  <si>
    <t>Norte</t>
  </si>
  <si>
    <t>Noroeste</t>
  </si>
  <si>
    <t>Total</t>
  </si>
  <si>
    <t>Población</t>
  </si>
  <si>
    <t>Sindicados</t>
  </si>
  <si>
    <t>Condenados</t>
  </si>
  <si>
    <t>Oriente</t>
  </si>
  <si>
    <t>Viejo Caldas</t>
  </si>
  <si>
    <t>Febrero</t>
  </si>
  <si>
    <t>Marzo</t>
  </si>
  <si>
    <t>Capacidad</t>
  </si>
  <si>
    <t xml:space="preserve">Capacidad </t>
  </si>
  <si>
    <t>Sobrepoblación</t>
  </si>
  <si>
    <t>Subtotal</t>
  </si>
  <si>
    <t>Iletrados</t>
  </si>
  <si>
    <t>Básica Primaria</t>
  </si>
  <si>
    <t xml:space="preserve">  Total</t>
  </si>
  <si>
    <t>Ubicación</t>
  </si>
  <si>
    <t>Participación</t>
  </si>
  <si>
    <t>Domiciliaria</t>
  </si>
  <si>
    <t>Establecimientos Fuerza Pública</t>
  </si>
  <si>
    <t>Subtotal otros establecimientos</t>
  </si>
  <si>
    <t>Total población reclusa país</t>
  </si>
  <si>
    <t>Índice de hacinamiento</t>
  </si>
  <si>
    <t xml:space="preserve">  Participación</t>
  </si>
  <si>
    <t>Establecimiento</t>
  </si>
  <si>
    <t>EPMSC</t>
  </si>
  <si>
    <t>EPC</t>
  </si>
  <si>
    <t>Mes</t>
  </si>
  <si>
    <t>Variación mensual</t>
  </si>
  <si>
    <t>- Técnicos</t>
  </si>
  <si>
    <t>- Tecnólogos</t>
  </si>
  <si>
    <t>- Universitarios</t>
  </si>
  <si>
    <t>Generación</t>
  </si>
  <si>
    <t>Tercera</t>
  </si>
  <si>
    <t>Segunda</t>
  </si>
  <si>
    <t>Primera</t>
  </si>
  <si>
    <t xml:space="preserve">Total </t>
  </si>
  <si>
    <t>Extranjeros</t>
  </si>
  <si>
    <t>INPEC</t>
  </si>
  <si>
    <t>H</t>
  </si>
  <si>
    <t>M</t>
  </si>
  <si>
    <t>Trabajo</t>
  </si>
  <si>
    <t>Estudio</t>
  </si>
  <si>
    <t>Enseñanza</t>
  </si>
  <si>
    <t>Detención</t>
  </si>
  <si>
    <t>Prisión</t>
  </si>
  <si>
    <t xml:space="preserve"> </t>
  </si>
  <si>
    <t>Intramural</t>
  </si>
  <si>
    <t>Abril</t>
  </si>
  <si>
    <t>Junio</t>
  </si>
  <si>
    <t>|</t>
  </si>
  <si>
    <t>Julio</t>
  </si>
  <si>
    <t>ERON</t>
  </si>
  <si>
    <t>Municipios</t>
  </si>
  <si>
    <t xml:space="preserve"> Occidente</t>
  </si>
  <si>
    <t xml:space="preserve"> Norte</t>
  </si>
  <si>
    <t xml:space="preserve"> Noroeste</t>
  </si>
  <si>
    <t>Rango en cupos</t>
  </si>
  <si>
    <t>Establecimientos</t>
  </si>
  <si>
    <t>Cantidad</t>
  </si>
  <si>
    <t>Hasta 100 cupos</t>
  </si>
  <si>
    <t>Entre 101 y 200 cupos</t>
  </si>
  <si>
    <t>Entre 201 y 300 cupos</t>
  </si>
  <si>
    <t>Agosto</t>
  </si>
  <si>
    <t>Septiembre</t>
  </si>
  <si>
    <t>Año</t>
  </si>
  <si>
    <t>Población colombiana</t>
  </si>
  <si>
    <t>Absoluta</t>
  </si>
  <si>
    <t>Participación nacional</t>
  </si>
  <si>
    <t>SINDICADOS</t>
  </si>
  <si>
    <t>SUBTOTAL</t>
  </si>
  <si>
    <t>CONDENADOS</t>
  </si>
  <si>
    <t>F</t>
  </si>
  <si>
    <t>Consolidado Cedip</t>
  </si>
  <si>
    <t>Consolidado CEDIP</t>
  </si>
  <si>
    <t>TOTAL REGIONAL CENTRAL</t>
  </si>
  <si>
    <t>TOTAL REGIONAL OCCIDENTE</t>
  </si>
  <si>
    <t>TOTAL REGIONAL NORTE</t>
  </si>
  <si>
    <t>TOTAL REGIONAL ORIENTE</t>
  </si>
  <si>
    <t>TOTAL REGIONAL NOROESTE</t>
  </si>
  <si>
    <t>TOTAL REGIONAL VIEJO CALDAS</t>
  </si>
  <si>
    <t>REGIONAL</t>
  </si>
  <si>
    <t>CAPACIDAD</t>
  </si>
  <si>
    <t>Subotal INPEC</t>
  </si>
  <si>
    <t>OTRAS ENTIDADES</t>
  </si>
  <si>
    <t>Nivel escolaridad ingreso</t>
  </si>
  <si>
    <t>Relativa</t>
  </si>
  <si>
    <t>Con respecto al total de la población reclusa del país</t>
  </si>
  <si>
    <t>* Incluye el Distrito Capital de Bogotá.</t>
  </si>
  <si>
    <t>Participación       ERON</t>
  </si>
  <si>
    <t>Reclusión de Mujeres</t>
  </si>
  <si>
    <t>Establecimiento Penitenciario de Mediana Seguridad y Carcelario</t>
  </si>
  <si>
    <t>Establecimiento Penitenciario y Carcelario</t>
  </si>
  <si>
    <t>Complejo Carcelario y Penitenciario</t>
  </si>
  <si>
    <t>Total ERON</t>
  </si>
  <si>
    <t>EPMS</t>
  </si>
  <si>
    <t>Capacidad ERON</t>
  </si>
  <si>
    <t>RM</t>
  </si>
  <si>
    <t>Participación población</t>
  </si>
  <si>
    <t>Participación ERON</t>
  </si>
  <si>
    <t xml:space="preserve"> EPMSC Arauca</t>
  </si>
  <si>
    <t xml:space="preserve"> EPMSC Barrancabermeja</t>
  </si>
  <si>
    <t xml:space="preserve"> EPMSC Malaga</t>
  </si>
  <si>
    <t xml:space="preserve"> RM Bucaramanga</t>
  </si>
  <si>
    <t xml:space="preserve"> EPAMS Giron</t>
  </si>
  <si>
    <t xml:space="preserve"> COCUC Cucuta</t>
  </si>
  <si>
    <t xml:space="preserve"> EPMSC Aguachica</t>
  </si>
  <si>
    <t xml:space="preserve"> EPMS San Gil</t>
  </si>
  <si>
    <t xml:space="preserve"> EPMSC Socorro</t>
  </si>
  <si>
    <t xml:space="preserve"> EPMSC Pamplona</t>
  </si>
  <si>
    <t xml:space="preserve"> EPMSC Ocaña</t>
  </si>
  <si>
    <t xml:space="preserve"> EPMSC Velez</t>
  </si>
  <si>
    <t>PARTICIPACIÓN  NACIONAL</t>
  </si>
  <si>
    <t>Cupos</t>
  </si>
  <si>
    <t>TOTAL</t>
  </si>
  <si>
    <t>Educación superior</t>
  </si>
  <si>
    <t xml:space="preserve">Colonia Agrícola </t>
  </si>
  <si>
    <t>Con respecto al total de la población a cargo de la entidad</t>
  </si>
  <si>
    <t>Establecimientos Municipales</t>
  </si>
  <si>
    <t xml:space="preserve"> EPMSC San Vicente de Chucuri</t>
  </si>
  <si>
    <t>Especializado</t>
  </si>
  <si>
    <t>0 - 5</t>
  </si>
  <si>
    <t>11 - 15</t>
  </si>
  <si>
    <t>16 - 20</t>
  </si>
  <si>
    <t>21 - 25</t>
  </si>
  <si>
    <t>26 - 30</t>
  </si>
  <si>
    <t>Vigilancia Electrónica</t>
  </si>
  <si>
    <t>** Administrativamente el Establecimiento Penitenciario de Media Seguridad y Carcelario de Aguachica corresponde a la Regional Oriente.</t>
  </si>
  <si>
    <t>*** Administrativamente los Establecimientos Penitenciarios de Media Seguridad y Carcelario de Puerto Boyacá (Boyacá), Armero-Guayabal, Fresno, Líbano, Honda y el Complejo de Picaleña (Tolima), están adscritos a la Regional Viejo Caldas.</t>
  </si>
  <si>
    <t>Establecimientos de Reclusión del Orden Nacional -ERON</t>
  </si>
  <si>
    <t>CPMS</t>
  </si>
  <si>
    <t xml:space="preserve"> Central </t>
  </si>
  <si>
    <t xml:space="preserve"> Oriente</t>
  </si>
  <si>
    <t xml:space="preserve"> Viejo Caldas</t>
  </si>
  <si>
    <t>Concepto</t>
  </si>
  <si>
    <t>Situación Actual</t>
  </si>
  <si>
    <t>Población x Situación Jurídica</t>
  </si>
  <si>
    <t>Total Capa- cidad</t>
  </si>
  <si>
    <t>Población    x  Sexo</t>
  </si>
  <si>
    <t>Hacinamiento</t>
  </si>
  <si>
    <t>No.</t>
  </si>
  <si>
    <t>Sub</t>
  </si>
  <si>
    <t>#</t>
  </si>
  <si>
    <t>%</t>
  </si>
  <si>
    <t>Participación capacidad</t>
  </si>
  <si>
    <t xml:space="preserve">  Variación</t>
  </si>
  <si>
    <t>Superior a  1.000 cupos</t>
  </si>
  <si>
    <t>Entre 301 y 1.000 cupos</t>
  </si>
  <si>
    <t xml:space="preserve"> EPMSC Tuquerres</t>
  </si>
  <si>
    <t xml:space="preserve"> EPMSC Tumaco</t>
  </si>
  <si>
    <t xml:space="preserve"> EPMSC Riohacha</t>
  </si>
  <si>
    <t xml:space="preserve"> EPMSC Barranquilla</t>
  </si>
  <si>
    <t xml:space="preserve"> EPMSC Sevilla</t>
  </si>
  <si>
    <t xml:space="preserve"> COJAM Jamundi</t>
  </si>
  <si>
    <t xml:space="preserve"> EPMSC Santa Marta</t>
  </si>
  <si>
    <t xml:space="preserve"> EPMSC Tierralta</t>
  </si>
  <si>
    <t xml:space="preserve"> EPMSC Pasto</t>
  </si>
  <si>
    <t xml:space="preserve"> EPAMSCAS Palmira</t>
  </si>
  <si>
    <t xml:space="preserve"> EPAMSCAS Popayan</t>
  </si>
  <si>
    <t xml:space="preserve"> EPMSC Jerico</t>
  </si>
  <si>
    <t xml:space="preserve"> EPMSC La Ceja</t>
  </si>
  <si>
    <t xml:space="preserve"> EPMSC Puerto Berrio</t>
  </si>
  <si>
    <t xml:space="preserve"> EPMSC Sonson</t>
  </si>
  <si>
    <t xml:space="preserve"> EPMSC Tamesis</t>
  </si>
  <si>
    <t xml:space="preserve"> EPMSC Apartado</t>
  </si>
  <si>
    <t xml:space="preserve"> EPMSC Itsmina</t>
  </si>
  <si>
    <t xml:space="preserve"> EP Puerto Triunfo</t>
  </si>
  <si>
    <t xml:space="preserve"> EPMSC Cali</t>
  </si>
  <si>
    <t xml:space="preserve"> EPMSC El Banco</t>
  </si>
  <si>
    <t xml:space="preserve"> RM Manizales</t>
  </si>
  <si>
    <t xml:space="preserve"> EPMSC Calarca</t>
  </si>
  <si>
    <t xml:space="preserve"> EPMSC Armenia</t>
  </si>
  <si>
    <t xml:space="preserve"> RM Armenia</t>
  </si>
  <si>
    <t xml:space="preserve"> EPMSC Pereira</t>
  </si>
  <si>
    <t xml:space="preserve"> EC Armero Guayabal</t>
  </si>
  <si>
    <t xml:space="preserve"> EPMSC Fresno</t>
  </si>
  <si>
    <t xml:space="preserve"> EPMSC Puerto Boyaca</t>
  </si>
  <si>
    <t xml:space="preserve"> EPMSC Ipiales</t>
  </si>
  <si>
    <t xml:space="preserve"> EPMSC Buga</t>
  </si>
  <si>
    <t xml:space="preserve"> EPMSC Santa Barbara</t>
  </si>
  <si>
    <t xml:space="preserve"> EPMSC Yarumal</t>
  </si>
  <si>
    <t xml:space="preserve"> COPED Pedregal</t>
  </si>
  <si>
    <t xml:space="preserve"> EPMSC Santa Rosa de Cabal</t>
  </si>
  <si>
    <t xml:space="preserve"> EPAMS La Dorada</t>
  </si>
  <si>
    <t xml:space="preserve"> EPMSC Buenaventura</t>
  </si>
  <si>
    <t xml:space="preserve"> EPMSC Cartago</t>
  </si>
  <si>
    <t xml:space="preserve"> EPMSC San Andres</t>
  </si>
  <si>
    <t xml:space="preserve"> EPMSC Santo Domingo</t>
  </si>
  <si>
    <t xml:space="preserve"> EPMSC Honda</t>
  </si>
  <si>
    <t xml:space="preserve"> EPMSC La Union</t>
  </si>
  <si>
    <t xml:space="preserve"> EPMSC Caicedonia</t>
  </si>
  <si>
    <t xml:space="preserve"> EPMSC Sincelejo</t>
  </si>
  <si>
    <t xml:space="preserve"> EPMSC Santa Rosa de Osos</t>
  </si>
  <si>
    <t xml:space="preserve"> EPMSC Libano</t>
  </si>
  <si>
    <t xml:space="preserve"> COIBA Ibague</t>
  </si>
  <si>
    <t xml:space="preserve"> EPMSC Bolivar</t>
  </si>
  <si>
    <t xml:space="preserve"> EPMSC El Bordo</t>
  </si>
  <si>
    <t xml:space="preserve"> EPMSC Puerto Tejada</t>
  </si>
  <si>
    <t xml:space="preserve"> EPMSC Santander de Quilichao</t>
  </si>
  <si>
    <t xml:space="preserve"> EPMSC Silvia</t>
  </si>
  <si>
    <t xml:space="preserve"> RM Popayan</t>
  </si>
  <si>
    <t xml:space="preserve"> EC Sabanalarga</t>
  </si>
  <si>
    <t xml:space="preserve"> EPMSC Cartagena</t>
  </si>
  <si>
    <t xml:space="preserve"> EPMSC Magangue</t>
  </si>
  <si>
    <t xml:space="preserve"> EPMSC Valledupar</t>
  </si>
  <si>
    <t xml:space="preserve"> EPMSC Monteria</t>
  </si>
  <si>
    <t xml:space="preserve"> ERE Corozal</t>
  </si>
  <si>
    <t xml:space="preserve"> EPMSC Andes</t>
  </si>
  <si>
    <t xml:space="preserve"> EPMSC Caucasia</t>
  </si>
  <si>
    <t xml:space="preserve"> EPMSC Quibdo</t>
  </si>
  <si>
    <t xml:space="preserve"> EPMSC Manizales</t>
  </si>
  <si>
    <t xml:space="preserve"> EPMSC Anserma</t>
  </si>
  <si>
    <t xml:space="preserve"> EPMSC Aguadas</t>
  </si>
  <si>
    <t xml:space="preserve"> EPMSC Pacora</t>
  </si>
  <si>
    <t xml:space="preserve"> EPMSC Pensilvania</t>
  </si>
  <si>
    <t xml:space="preserve"> EPMSC Riosucio</t>
  </si>
  <si>
    <t xml:space="preserve"> EPMSC Salamina</t>
  </si>
  <si>
    <t xml:space="preserve"> RM Pereira</t>
  </si>
  <si>
    <t xml:space="preserve"> CPMS Tulua</t>
  </si>
  <si>
    <t xml:space="preserve"> CPMS-ERE-JP Bucaramanga</t>
  </si>
  <si>
    <t xml:space="preserve"> EPAMS-CAS Valledupar</t>
  </si>
  <si>
    <t xml:space="preserve"> CPMS-ERE-JP Itagui- La Paz</t>
  </si>
  <si>
    <t>CMS</t>
  </si>
  <si>
    <t>Carcel de Mediana Seguridad</t>
  </si>
  <si>
    <t>CMS-JP Barranquilla</t>
  </si>
  <si>
    <t>CPAMS</t>
  </si>
  <si>
    <t>Cárcel y Penitenciaría con Alta y Media Seguridad</t>
  </si>
  <si>
    <t xml:space="preserve">Establecimiento Penitenciario de Mediana Seguridad </t>
  </si>
  <si>
    <t>PPL</t>
  </si>
  <si>
    <t>Mujeres</t>
  </si>
  <si>
    <t>PPL POR SITUACION JURIDICA</t>
  </si>
  <si>
    <t>Hombres</t>
  </si>
  <si>
    <t>Madres 
lactantes</t>
  </si>
  <si>
    <t xml:space="preserve">TOTAL </t>
  </si>
  <si>
    <t>Población Privada de la Libertad</t>
  </si>
  <si>
    <t>Nov</t>
  </si>
  <si>
    <t>Dic</t>
  </si>
  <si>
    <t>Cupos cerrados</t>
  </si>
  <si>
    <t>Mayo</t>
  </si>
  <si>
    <t>Noviembre</t>
  </si>
  <si>
    <t>Nuevos 
cupos</t>
  </si>
  <si>
    <t>PPL intramuros</t>
  </si>
  <si>
    <t>Enero</t>
  </si>
  <si>
    <t>Octubre</t>
  </si>
  <si>
    <t>Diciembre</t>
  </si>
  <si>
    <t>Promedio</t>
  </si>
  <si>
    <t>Variación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</si>
  <si>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</si>
  <si>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</si>
  <si>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</si>
  <si>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</si>
  <si>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</si>
  <si>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</si>
  <si>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</si>
  <si>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</si>
  <si>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</si>
  <si>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</si>
  <si>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Total PPL</t>
  </si>
  <si>
    <t>18-24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</si>
  <si>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</si>
  <si>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</si>
  <si>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</si>
  <si>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</si>
  <si>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</si>
  <si>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</si>
  <si>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</si>
  <si>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</si>
  <si>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</si>
  <si>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&lt;70</t>
  </si>
  <si>
    <t xml:space="preserve">Subtotal </t>
  </si>
  <si>
    <t>Meses de detención</t>
  </si>
  <si>
    <t>06 - 10</t>
  </si>
  <si>
    <t>31 - 35</t>
  </si>
  <si>
    <t>Total PPL sindicada</t>
  </si>
  <si>
    <t>+ de 36</t>
  </si>
  <si>
    <t>Años de prisión</t>
  </si>
  <si>
    <t>Total PPL condenada</t>
  </si>
  <si>
    <t>PPL 
intramuros</t>
  </si>
  <si>
    <t>Asistencia, atención e intervención psicológica</t>
  </si>
  <si>
    <t>Total PPL en TEE</t>
  </si>
  <si>
    <t>Fase 
Alta</t>
  </si>
  <si>
    <t>Fase 
Media</t>
  </si>
  <si>
    <t>Fase 
Mínima</t>
  </si>
  <si>
    <t>Observación y diagnóstico</t>
  </si>
  <si>
    <t xml:space="preserve"> Promedio</t>
  </si>
  <si>
    <t>Total PPL reincidente</t>
  </si>
  <si>
    <t>PPL reincidente</t>
  </si>
  <si>
    <t>PPL sin reincidencia</t>
  </si>
  <si>
    <t>PPL condenada</t>
  </si>
  <si>
    <t>PPL condenada sin reincidencia</t>
  </si>
  <si>
    <t>Posibles 
cupos</t>
  </si>
  <si>
    <t>Índice hacinamiento con PPL reincidente</t>
  </si>
  <si>
    <t>Índice hacinamiento sin PPL reincidente</t>
  </si>
  <si>
    <t xml:space="preserve">PPL sin evaluación </t>
  </si>
  <si>
    <t xml:space="preserve">Detención </t>
  </si>
  <si>
    <t>Total PPL intramuros</t>
  </si>
  <si>
    <t>PPL en domicliaria</t>
  </si>
  <si>
    <t xml:space="preserve">Concepto </t>
  </si>
  <si>
    <t>Condeados</t>
  </si>
  <si>
    <t>Promedio anual</t>
  </si>
  <si>
    <t>Situación 
Jurídica</t>
  </si>
  <si>
    <t xml:space="preserve"> - Ciclo 1  (Gdo. 1, 2, 3)</t>
  </si>
  <si>
    <t xml:space="preserve"> - Cliclo 2 (Gdo. 4, 5)</t>
  </si>
  <si>
    <t xml:space="preserve"> - Ciclo 3 (Gdo. 6, 7)</t>
  </si>
  <si>
    <t xml:space="preserve"> - Ciclo 4 (Gdo. 8, 9)</t>
  </si>
  <si>
    <t xml:space="preserve"> - Ciclo 5 (Gdo. 10)</t>
  </si>
  <si>
    <t xml:space="preserve"> - Ciclo 6 (Gdo. 11)</t>
  </si>
  <si>
    <t xml:space="preserve">Mes </t>
  </si>
  <si>
    <t xml:space="preserve">Mujeres
gestantes </t>
  </si>
  <si>
    <t>Género</t>
  </si>
  <si>
    <t>Situación 
jurídica</t>
  </si>
  <si>
    <t>Variación anual</t>
  </si>
  <si>
    <t>Libertad Condicional</t>
  </si>
  <si>
    <t>Suspensión Pena</t>
  </si>
  <si>
    <t>Afro 
colombianos</t>
  </si>
  <si>
    <t>COPED</t>
  </si>
  <si>
    <t>COJAM</t>
  </si>
  <si>
    <t>CLASIFIC</t>
  </si>
  <si>
    <t>CAMIS</t>
  </si>
  <si>
    <t>CPMSM</t>
  </si>
  <si>
    <t>COCUC</t>
  </si>
  <si>
    <t>COIBA</t>
  </si>
  <si>
    <t>Etiquetas de fila</t>
  </si>
  <si>
    <t>Total general</t>
  </si>
  <si>
    <t>Cuenta de ERON</t>
  </si>
  <si>
    <t>Cárcel y Penitenciaría de Media Seguridad para Mujeres</t>
  </si>
  <si>
    <t>CPAMSM</t>
  </si>
  <si>
    <t>REGIONAL CENTRAL</t>
  </si>
  <si>
    <t>Generación ERON</t>
  </si>
  <si>
    <t>AMAZONAS</t>
  </si>
  <si>
    <t>HUILA</t>
  </si>
  <si>
    <t>BOYACA</t>
  </si>
  <si>
    <t>META</t>
  </si>
  <si>
    <t>TOLIMA</t>
  </si>
  <si>
    <t>CAQUETÁ</t>
  </si>
  <si>
    <t>BOGOTA D. C.</t>
  </si>
  <si>
    <t>CASANARE</t>
  </si>
  <si>
    <t>CUNDINAMARCA</t>
  </si>
  <si>
    <t xml:space="preserve">Generación </t>
  </si>
  <si>
    <t>Segunda             1</t>
  </si>
  <si>
    <t>REGIONAL OCCIDENTE</t>
  </si>
  <si>
    <t>CAUCA</t>
  </si>
  <si>
    <t>VALLE DEL CAUCA</t>
  </si>
  <si>
    <t>NARIÑO</t>
  </si>
  <si>
    <t>Primera            19</t>
  </si>
  <si>
    <t>REGIONAL NORTE</t>
  </si>
  <si>
    <t>ATLÁNTICO</t>
  </si>
  <si>
    <t>SUCRE</t>
  </si>
  <si>
    <t>BOLÍVAR</t>
  </si>
  <si>
    <t>CESAR</t>
  </si>
  <si>
    <t>Primera            14</t>
  </si>
  <si>
    <t>Segunda            1</t>
  </si>
  <si>
    <t>CÓRDOBA</t>
  </si>
  <si>
    <t>LA GUAJIRA</t>
  </si>
  <si>
    <t>MAGDLENA</t>
  </si>
  <si>
    <t>REGIONAL ORIENTE</t>
  </si>
  <si>
    <t>ARAUCA</t>
  </si>
  <si>
    <t>SANTANDER</t>
  </si>
  <si>
    <t>NORTE DE SATANDER</t>
  </si>
  <si>
    <t>Primera            12</t>
  </si>
  <si>
    <t>Tercera               1</t>
  </si>
  <si>
    <t>REGIONAL NOROESTE</t>
  </si>
  <si>
    <t>ANTIOQUIA</t>
  </si>
  <si>
    <t>CHOCÓ</t>
  </si>
  <si>
    <t>Primera            18</t>
  </si>
  <si>
    <t>Segunda            0</t>
  </si>
  <si>
    <t>ÁREA METROPOLITANA DE MEDELLÍN</t>
  </si>
  <si>
    <t>REGIONAL VIEJO CALDAS</t>
  </si>
  <si>
    <t>BOYACÁ</t>
  </si>
  <si>
    <t>CALDAS</t>
  </si>
  <si>
    <t>QUINDIO</t>
  </si>
  <si>
    <t>RISARALDA</t>
  </si>
  <si>
    <t xml:space="preserve">Tabla 52.  PPL en programas psicosociales, 2019
</t>
  </si>
  <si>
    <t>Entidades a cargo  de la custodia y vigilancia de la 
PPL</t>
  </si>
  <si>
    <t>Fuente: SISIPEC WEB</t>
  </si>
  <si>
    <t>15 - 20</t>
  </si>
  <si>
    <t>8</t>
  </si>
  <si>
    <t>25 - 408</t>
  </si>
  <si>
    <t>Tercera               5</t>
  </si>
  <si>
    <t>Tercera              0</t>
  </si>
  <si>
    <t>Tercera              1</t>
  </si>
  <si>
    <t>Tercera              2</t>
  </si>
  <si>
    <t>hombres</t>
  </si>
  <si>
    <t>Poblacion &gt;18</t>
  </si>
  <si>
    <t>hombres &gt;18</t>
  </si>
  <si>
    <t>mujeres&gt;18</t>
  </si>
  <si>
    <t xml:space="preserve">  Promedio</t>
  </si>
  <si>
    <t>PPL por rango de edad</t>
  </si>
  <si>
    <t>Promedio PPL</t>
  </si>
  <si>
    <t xml:space="preserve">Caracterización </t>
  </si>
  <si>
    <t>Población país con 18 años o más</t>
  </si>
  <si>
    <t>Tasa PPL por 100 mil  habitantes</t>
  </si>
  <si>
    <t>Registro delictivo</t>
  </si>
  <si>
    <t>ÍNDICE DE 
HACINAMIENTO</t>
  </si>
  <si>
    <t xml:space="preserve">   SOBRE 
POBLACIÓN</t>
  </si>
  <si>
    <t>TOTAL 
INTERNOS</t>
  </si>
  <si>
    <t>SOBRE 
POBLACIÓN</t>
  </si>
  <si>
    <t>PPL POR 
GÉNERO</t>
  </si>
  <si>
    <t>TOTAL
INTERNOS</t>
  </si>
  <si>
    <t>ÍNDICE DE
HACINAMIENTO</t>
  </si>
  <si>
    <t>Promed</t>
  </si>
  <si>
    <t>Particip</t>
  </si>
  <si>
    <t>Detalle</t>
  </si>
  <si>
    <t>PPL domiciliaria</t>
  </si>
  <si>
    <t>PPL sin plan de tratamiento</t>
  </si>
  <si>
    <t>PPL con plan de tratameinto</t>
  </si>
  <si>
    <t>Atención grupo con condiciones excepcionales</t>
  </si>
  <si>
    <t>Atención 
social</t>
  </si>
  <si>
    <t>PPL con plan tratamiento</t>
  </si>
  <si>
    <t>PPL sin plan tratamiento</t>
  </si>
  <si>
    <t>Intramuros</t>
  </si>
  <si>
    <t xml:space="preserve">Domiciliaria </t>
  </si>
  <si>
    <t>Vigilancia electrónica</t>
  </si>
  <si>
    <t>Clasificación ERON</t>
  </si>
  <si>
    <t>No. ERON</t>
  </si>
  <si>
    <t>Rango 
años de 
construcción</t>
  </si>
  <si>
    <t>PPL con vigilancia electrónica</t>
  </si>
  <si>
    <t>Programa</t>
  </si>
  <si>
    <t xml:space="preserve">Trabajo  </t>
  </si>
  <si>
    <t>Norma</t>
  </si>
  <si>
    <t>2 días</t>
  </si>
  <si>
    <t>1 día</t>
  </si>
  <si>
    <t>Actividades  literarias, artísticas y en comités internos</t>
  </si>
  <si>
    <t>4 horas de enseñanza</t>
  </si>
  <si>
    <t>Art. 82 
Ley 65 de 1993</t>
  </si>
  <si>
    <t>Art. 60 
Ley 1709 de 2014</t>
  </si>
  <si>
    <t>Art. 61 
Ley 1709 de 2014</t>
  </si>
  <si>
    <t>Art. 99 
Ley 65 de 1993</t>
  </si>
  <si>
    <t>Días abonados</t>
  </si>
  <si>
    <t>Subtot</t>
  </si>
  <si>
    <t>Días trabajo /estudio</t>
  </si>
  <si>
    <t>Delitos</t>
  </si>
  <si>
    <t>Hurto</t>
  </si>
  <si>
    <t>Homicidio</t>
  </si>
  <si>
    <t>Concierto para delinquir</t>
  </si>
  <si>
    <t>Fabricación, tráfico, porte o tenencia de armas de fuego, accesorios, partes o municiones</t>
  </si>
  <si>
    <t>Otros delitos</t>
  </si>
  <si>
    <t>Total PPL beneficiada</t>
  </si>
  <si>
    <t>Fuente: GEDIP - 2019</t>
  </si>
  <si>
    <t>Tabla 11.  Infraestructura Regional Occidente</t>
  </si>
  <si>
    <t>Tabla 12.  Infraestructura Regional Norte</t>
  </si>
  <si>
    <t>Tabla 13.  Infraestructura Regional Oriente</t>
  </si>
  <si>
    <t>Tabla 14.  Infraestructura Regional  Noroeste</t>
  </si>
  <si>
    <t>Tabla 15.  Infraestructura Regional Viejo Caldas</t>
  </si>
  <si>
    <t xml:space="preserve">   Promedio</t>
  </si>
  <si>
    <t>Atención 
familiar</t>
  </si>
  <si>
    <t>Eje 
prestacional</t>
  </si>
  <si>
    <t>Asistencia 
espiritual</t>
  </si>
  <si>
    <t>* Incluye internos que estando en ERON fueron clasificados en Fase de Tratamiento y posteriormente trasladados a domiciliaria y vigilancia electrónica</t>
  </si>
  <si>
    <t>EPMSCLET Leticia</t>
  </si>
  <si>
    <t>CPMSCHI Chiquinquirá</t>
  </si>
  <si>
    <t>EPMSCDUI Duitama</t>
  </si>
  <si>
    <t>CPMSGAR Garagoa</t>
  </si>
  <si>
    <t>EPMSCGTQ Guateque</t>
  </si>
  <si>
    <t>CPMSMOQ Moniquirá</t>
  </si>
  <si>
    <t>CPMSRAM Ramiriquí</t>
  </si>
  <si>
    <t>EPMSCSOG-RM-JP Sogamoso</t>
  </si>
  <si>
    <t>COBOG-ERE-JP Bogotá</t>
  </si>
  <si>
    <t>COBOG</t>
  </si>
  <si>
    <t>CPMSBOG - Bogotá</t>
  </si>
  <si>
    <t>EPMSCCAQ Cáqueza</t>
  </si>
  <si>
    <t>CPMSCHO Chocontá</t>
  </si>
  <si>
    <t>CPMSGAC Gachetá</t>
  </si>
  <si>
    <t>CPMSLMS La Mesa</t>
  </si>
  <si>
    <t>CPMSUBA Ubaté</t>
  </si>
  <si>
    <t>CPMSVILL Villeta</t>
  </si>
  <si>
    <t>EPMSCZIP Zipaquirá</t>
  </si>
  <si>
    <t>CPAMSMBOG-ERE Bogotá</t>
  </si>
  <si>
    <t>CAMISACS Acacias</t>
  </si>
  <si>
    <t>EPMSCVILLV Villavicencio</t>
  </si>
  <si>
    <t>EPMSCGRA Granada</t>
  </si>
  <si>
    <t>CPMSMEL Melgar</t>
  </si>
  <si>
    <t>EPMSCGIR Girardot</t>
  </si>
  <si>
    <t>EPMSCNEI Neiva</t>
  </si>
  <si>
    <t>EPMSCLPL La Plata</t>
  </si>
  <si>
    <t>EPMSCPIT Pitalito</t>
  </si>
  <si>
    <t>EPMSCCHA Chaparral</t>
  </si>
  <si>
    <t>CPMSESP Espinal</t>
  </si>
  <si>
    <t>CPMSPUR Purificación</t>
  </si>
  <si>
    <t>CPMSTUN Tunja</t>
  </si>
  <si>
    <t>CPAMSEB El Barne</t>
  </si>
  <si>
    <t>CPMSPDA Paz de Ariporo</t>
  </si>
  <si>
    <t>EPCYOP Yopal</t>
  </si>
  <si>
    <t>EPCGUM El Guamo</t>
  </si>
  <si>
    <t>EPMSCBOL Bolívar Cauca</t>
  </si>
  <si>
    <t>CPMSEBO El Bordo</t>
  </si>
  <si>
    <t>EPMSCPTE Puerto Tejada</t>
  </si>
  <si>
    <t>EPMSCSDQ Santander de Quilichao</t>
  </si>
  <si>
    <t>EPMSCSIL Silvia</t>
  </si>
  <si>
    <t>CPMSMPY Popayán</t>
  </si>
  <si>
    <t>EPMSCPAS-RM Pasto</t>
  </si>
  <si>
    <t>EPMSCLUN La Unión</t>
  </si>
  <si>
    <t>EPMSCTUQ Túquerres</t>
  </si>
  <si>
    <t>EPMSCTUM Tumaco</t>
  </si>
  <si>
    <t>EPMSCCAL-ERE Cali</t>
  </si>
  <si>
    <t>EPMSCBUG Buga</t>
  </si>
  <si>
    <t>EPMSCBUE Buenaventura</t>
  </si>
  <si>
    <t>CPMSTUL Tuluá</t>
  </si>
  <si>
    <t>CPAMSPY-ERE Popayán</t>
  </si>
  <si>
    <t>EPMSCCAR Cartago</t>
  </si>
  <si>
    <t>EPMSCCAI Caicedonia</t>
  </si>
  <si>
    <t>EPMSCSEV Sevilla</t>
  </si>
  <si>
    <t>COJAM Jamundí</t>
  </si>
  <si>
    <t>CMSBA-JP Barranquilla</t>
  </si>
  <si>
    <t>CPMSSAB-ERE Sabanalarga</t>
  </si>
  <si>
    <t>EPMSCCAR Cartagena</t>
  </si>
  <si>
    <t>EPMSCMAG Magangué</t>
  </si>
  <si>
    <t>EPMSCVAL-ERE Valledupar</t>
  </si>
  <si>
    <t>EPMSCMON Montería</t>
  </si>
  <si>
    <t>EPMSCRIO Riohacha</t>
  </si>
  <si>
    <t>EPMSCSM Santa Marta</t>
  </si>
  <si>
    <t>EPMSCEBA El Banco</t>
  </si>
  <si>
    <t>EPMSCSA San Andrés</t>
  </si>
  <si>
    <t>EPMSCSIN Sincelejo</t>
  </si>
  <si>
    <t>CPMSCOR Corozal</t>
  </si>
  <si>
    <t>EPMSCBA-ERE Barranquilla</t>
  </si>
  <si>
    <t>CPAMSVAL Valledupar</t>
  </si>
  <si>
    <t>EPCTALT Tierralta</t>
  </si>
  <si>
    <t>EPMSCARA Arauca</t>
  </si>
  <si>
    <t>EPMSCAGU Aguachica</t>
  </si>
  <si>
    <t>EPMSCPAM Pamplona</t>
  </si>
  <si>
    <t>EPMSCOC Ocaña</t>
  </si>
  <si>
    <t>CPMSBUC-ERE-JP Bucaramanga</t>
  </si>
  <si>
    <t>EPMSCBBJ Barrancabermeja</t>
  </si>
  <si>
    <t>EPMSCMAL Málaga</t>
  </si>
  <si>
    <t>EPMSSGI San Gil</t>
  </si>
  <si>
    <t>EPMSCSOC Socorro</t>
  </si>
  <si>
    <t>CPMSSVC San Vicente de Chucurí</t>
  </si>
  <si>
    <t>EPMSCVEL Vélez</t>
  </si>
  <si>
    <t>CPMSMBUC Bucaramanga</t>
  </si>
  <si>
    <t>CPAMSGIR Girón</t>
  </si>
  <si>
    <t>EPMSCAND Andes</t>
  </si>
  <si>
    <t>EPMSCBOV Bolívar -Antioquia</t>
  </si>
  <si>
    <t>EPMSCCAU Caucasia</t>
  </si>
  <si>
    <t>CPMSJER Jerico</t>
  </si>
  <si>
    <t>EPMSCLCJ La Ceja</t>
  </si>
  <si>
    <t>EPMSCPBE Puerto Berrio</t>
  </si>
  <si>
    <t>EPMSCSBA Santa Bárbara</t>
  </si>
  <si>
    <t>CPMSSDO Santo Domingo</t>
  </si>
  <si>
    <t>EPMSCSRO Santa Rosa de Osos</t>
  </si>
  <si>
    <t>EPMSCSON Sonson</t>
  </si>
  <si>
    <t>EPMSCTAM Támesis</t>
  </si>
  <si>
    <t>EPMSCYAR Yarumal</t>
  </si>
  <si>
    <t>EPMSCQUI Quibdó</t>
  </si>
  <si>
    <t>CPMSAPD Apartadó</t>
  </si>
  <si>
    <t>EPMSCIST Istmina</t>
  </si>
  <si>
    <t>CPMSPTR Puerto Triunfo</t>
  </si>
  <si>
    <t>COPED Medellín Pedregal</t>
  </si>
  <si>
    <t>EPMSCMAN Manizales</t>
  </si>
  <si>
    <t>EPMSCANS Anserma</t>
  </si>
  <si>
    <t>EPMSCAGD Aguadas</t>
  </si>
  <si>
    <t>EPMSCPAR Pácora</t>
  </si>
  <si>
    <t>EPMSCPEN Pensilvania</t>
  </si>
  <si>
    <t>EPMSCRIS Riosucio</t>
  </si>
  <si>
    <t>EPMSCSAL Salamina</t>
  </si>
  <si>
    <t>RMMAN Manizales</t>
  </si>
  <si>
    <t>EPMSCCAL Calarcá</t>
  </si>
  <si>
    <t>EPMSCARM Armenia</t>
  </si>
  <si>
    <t>RMARM Armenia</t>
  </si>
  <si>
    <t>EPMSCPEI-ERE Pereira</t>
  </si>
  <si>
    <t>EPMSCSRC Santa Rosa de Cabal</t>
  </si>
  <si>
    <t>RMPEI Pereira</t>
  </si>
  <si>
    <t>EPMSCARG Armero Guayabal</t>
  </si>
  <si>
    <t>EPMSCFRN Fresno</t>
  </si>
  <si>
    <t>EPMSCHON Honda</t>
  </si>
  <si>
    <t>EPMSCLIB Líbano</t>
  </si>
  <si>
    <t>EPMSCPBO Puerto Boyacá</t>
  </si>
  <si>
    <t>CPAMSLDO-ERE La Dorada</t>
  </si>
  <si>
    <t>1 Central</t>
  </si>
  <si>
    <t>2 Occidente</t>
  </si>
  <si>
    <t>3 Norte</t>
  </si>
  <si>
    <t>4 Oriente</t>
  </si>
  <si>
    <t>5 Noroeste</t>
  </si>
  <si>
    <t>6 Viejo Cal.</t>
  </si>
  <si>
    <t>COMPLEJO</t>
  </si>
  <si>
    <t>CENTRAL</t>
  </si>
  <si>
    <t>OCCIDENTE</t>
  </si>
  <si>
    <t>NORTE</t>
  </si>
  <si>
    <t>ORIENTE</t>
  </si>
  <si>
    <t>NORORIENTE</t>
  </si>
  <si>
    <t>VIEJO CALDAS</t>
  </si>
  <si>
    <t>Fuente: GEDIP - 2020</t>
  </si>
  <si>
    <t>PPL 
intramuros 
INPEC</t>
  </si>
  <si>
    <t>Variación anual PPL intramuros</t>
  </si>
  <si>
    <t>Tasa PPL intramuros 
por 100 mil habitantes</t>
  </si>
  <si>
    <t>https://www.dane.gov.co/reloj</t>
  </si>
  <si>
    <t>Población colombiana 
mayor de 
18 años</t>
  </si>
  <si>
    <t>PPL INPEC (intramuros, domiciliaria y con vigilancia electrónica)</t>
  </si>
  <si>
    <t>Participación 
nacional</t>
  </si>
  <si>
    <t>Tasa 
PPL INPEC
por 100 mil 
habitantes
&gt; 18 años</t>
  </si>
  <si>
    <t>Población 
intramuros</t>
  </si>
  <si>
    <t>Tasa PPL intramuros 
por 100 mil 
habitantes
&gt; 18 años</t>
  </si>
  <si>
    <t>FUENTE: GEDIP - 2020</t>
  </si>
  <si>
    <t xml:space="preserve">Regional </t>
  </si>
  <si>
    <t>Total población PPL
a cargo del INPEC</t>
  </si>
  <si>
    <t xml:space="preserve"> Participación</t>
  </si>
  <si>
    <t>Variación anual PPL</t>
  </si>
  <si>
    <t>Tasa PPL INPEC
por 100 mil 
habitantes</t>
  </si>
  <si>
    <t>https://www.dane.gov.co/index.php/estadisticas-por-tema/demografia-y-poblacion/proyecciones-de-poblacion</t>
  </si>
  <si>
    <t xml:space="preserve">. Proyecciones de Población 2018-2023, total nacional y departamental por área y sexo                                              </t>
  </si>
  <si>
    <t>DANE. datos consolidados del Censo Nacional de Población y Vivienda 2018</t>
  </si>
  <si>
    <t>CPMSFUS - CAM Fusagasugá</t>
  </si>
  <si>
    <t>CPMSACS - RM Acacias</t>
  </si>
  <si>
    <t>CPAMSPAL Palmira</t>
  </si>
  <si>
    <t>CPAMSPA-ERE La Paz</t>
  </si>
  <si>
    <t>primera</t>
  </si>
  <si>
    <t>SAN ANDRÉS</t>
  </si>
  <si>
    <t xml:space="preserve">Enero </t>
  </si>
  <si>
    <t>poblacion colombia</t>
  </si>
  <si>
    <t>Tabla 26.  Comportamiento PPL intramuros 2020, rango de edad</t>
  </si>
  <si>
    <t>con discapacidad</t>
  </si>
  <si>
    <t>Adulto 
mayor</t>
  </si>
  <si>
    <t>PPL EXTRANJERA INTRAMUROS 2020</t>
  </si>
  <si>
    <t xml:space="preserve">Promedio </t>
  </si>
  <si>
    <t>PPL EXTRANJERA DOMICILIARIA 2020</t>
  </si>
  <si>
    <t>PPL EXTRANJERA VIGILANCIA ELECTRÓNICA 2020</t>
  </si>
  <si>
    <t>PPL EXTRANJERA A NIVEL NACIONAL  SITUACION JURIDICA</t>
  </si>
  <si>
    <t>Domiciliaria+H81:J97</t>
  </si>
  <si>
    <t>PPL EXTRANJERA situacion juridica 2020</t>
  </si>
  <si>
    <t>PPL EXTRANJERA ubicacion 2020</t>
  </si>
  <si>
    <t>Total PPL extranjera</t>
  </si>
  <si>
    <t>Venezuela</t>
  </si>
  <si>
    <t>Ecuador</t>
  </si>
  <si>
    <t>Mexico</t>
  </si>
  <si>
    <t>Guatemala</t>
  </si>
  <si>
    <t>Espana</t>
  </si>
  <si>
    <t>Costa Rica</t>
  </si>
  <si>
    <t>Estados Unidos De America</t>
  </si>
  <si>
    <t>Peru</t>
  </si>
  <si>
    <t>Republica Dominicana</t>
  </si>
  <si>
    <t>Nicaragua</t>
  </si>
  <si>
    <t>Italia</t>
  </si>
  <si>
    <t>Brasil</t>
  </si>
  <si>
    <t>Honduras</t>
  </si>
  <si>
    <t>Panama</t>
  </si>
  <si>
    <t>Otros Países</t>
  </si>
  <si>
    <t>Prom</t>
  </si>
  <si>
    <t>PPL extranjera país de origen</t>
  </si>
  <si>
    <t>País de origen</t>
  </si>
  <si>
    <t>PPL EXTRANJERA DELITOS</t>
  </si>
  <si>
    <t>PPL EXTRANJERA REGIONALES</t>
  </si>
  <si>
    <t>Trafico, fabricacion o porte de estupefacientes</t>
  </si>
  <si>
    <t>Fabricacion, trafico y porte de armas de fuego o municiones</t>
  </si>
  <si>
    <t>Favorecimiento en el delito de contrabando de hidrocarburos o sus derivados</t>
  </si>
  <si>
    <t>Fabricación, tráfico y porte de armas, municiones de uso restringido, de uso privativo de las fuerzas armadas o explosivos</t>
  </si>
  <si>
    <t>Extorsion</t>
  </si>
  <si>
    <t>Llesiones personales</t>
  </si>
  <si>
    <t>Uso de menores de edad para la comision de delitos</t>
  </si>
  <si>
    <t>tros delitos</t>
  </si>
  <si>
    <t>Occidental</t>
  </si>
  <si>
    <t>Ortiente</t>
  </si>
  <si>
    <t>Subtotal INPEC</t>
  </si>
  <si>
    <t>Cárceles Departamentales, Municipales y Distritales</t>
  </si>
  <si>
    <t>Ubicación PPL</t>
  </si>
  <si>
    <t>Total privados de la libertad país</t>
  </si>
  <si>
    <t>Variación anual privados de la libertad país</t>
  </si>
  <si>
    <t>Entidad a cargo  de la custodia 
y vigilancia 
de la PPL</t>
  </si>
  <si>
    <t>Tasa PPL por 100 mil habitantes &gt; de 18 años</t>
  </si>
  <si>
    <t xml:space="preserve">PPL </t>
  </si>
  <si>
    <t>Sobre población</t>
  </si>
  <si>
    <t>Índice de 
hacinamiento</t>
  </si>
  <si>
    <t>2017</t>
  </si>
  <si>
    <t>2018</t>
  </si>
  <si>
    <t>2019</t>
  </si>
  <si>
    <t>2020</t>
  </si>
  <si>
    <t xml:space="preserve"> Básica Secundaria y Media Vocacional</t>
  </si>
  <si>
    <t>Fabricación, tráfico y porte de armas de fuego o municiones</t>
  </si>
  <si>
    <t xml:space="preserve">Tráfico, fabricación o porte de estupefacientes </t>
  </si>
  <si>
    <t xml:space="preserve">Mayo </t>
  </si>
  <si>
    <t>º</t>
  </si>
  <si>
    <t>AÑO</t>
  </si>
  <si>
    <t>MES</t>
  </si>
  <si>
    <t>Indígenas</t>
  </si>
  <si>
    <t>Con discapacidad</t>
  </si>
  <si>
    <t>Sector LGBTI</t>
  </si>
  <si>
    <t xml:space="preserve">Mujeres gestantes </t>
  </si>
  <si>
    <t>Afrocolombianos</t>
  </si>
  <si>
    <t>MPL por rango de edad</t>
  </si>
  <si>
    <t>HPL por rango de edad</t>
  </si>
  <si>
    <t>Comportamiento PPL intramuros 2016 - 2020, situación jurídica</t>
  </si>
  <si>
    <t>Participac PPL</t>
  </si>
  <si>
    <t>Total PPL en ERON</t>
  </si>
  <si>
    <t>Cobertura PPL intramural en actividades ocupacionales y laborales, 2020</t>
  </si>
  <si>
    <t>PPL extranjera a nivel país, 2020 -GENERO</t>
  </si>
  <si>
    <t>PPL 
clasificada 
Fase de 
Tratamiento</t>
  </si>
  <si>
    <t>PPL 
Condenada</t>
  </si>
  <si>
    <t>PPL Reincidente</t>
  </si>
  <si>
    <t>Cond</t>
  </si>
  <si>
    <t>Reinc</t>
  </si>
  <si>
    <t>Conden</t>
  </si>
  <si>
    <t>Variable</t>
  </si>
  <si>
    <t>Total PPL
vigilancia electrónica</t>
  </si>
  <si>
    <t>PPL vig. electrónica</t>
  </si>
  <si>
    <t>Apropiado 
Final</t>
  </si>
  <si>
    <t>Compromisos</t>
  </si>
  <si>
    <t>Saldo 
Apropiación</t>
  </si>
  <si>
    <t>Obligaciones</t>
  </si>
  <si>
    <t>Pagos</t>
  </si>
  <si>
    <t>% Ejecución compromisos</t>
  </si>
  <si>
    <t>A. Funcionamiento</t>
  </si>
  <si>
    <t>C. Inversión</t>
  </si>
  <si>
    <t>Total presupuesto</t>
  </si>
  <si>
    <t>Créditos</t>
  </si>
  <si>
    <t>Contra 
créditos</t>
  </si>
  <si>
    <t>Apropiación 
Final</t>
  </si>
  <si>
    <t xml:space="preserve"> Comportamiento Presupuestal Vigencia 2020</t>
  </si>
  <si>
    <t>PPL actividades ocupacionales TEE</t>
  </si>
  <si>
    <t>PPL Actividades transversales</t>
  </si>
  <si>
    <t>PPL Programa Resocializador</t>
  </si>
  <si>
    <t>2 dìas (el día corresponde a la asistencia de 6 horas que pueden acumularse de diferentes días)</t>
  </si>
  <si>
    <t>Intra</t>
  </si>
  <si>
    <t>Dom</t>
  </si>
  <si>
    <t>Vig</t>
  </si>
  <si>
    <t>PPL condenadada</t>
  </si>
  <si>
    <t>PPL INPEC</t>
  </si>
  <si>
    <t>PPL sin reinc</t>
  </si>
  <si>
    <t>hacin</t>
  </si>
  <si>
    <t>Sobrep</t>
  </si>
  <si>
    <t>PPL cond sin reinc</t>
  </si>
  <si>
    <t xml:space="preserve"> Infraestructura de las Regionales Inpec</t>
  </si>
  <si>
    <t>Infraestructura Regional Central</t>
  </si>
  <si>
    <t>Tasa por 100 mil habitantes PPL intramuros, por género</t>
  </si>
  <si>
    <t xml:space="preserve"> Comportamiento PPL intramuros 2020,  nivel de escolaridad al ingreso ERON</t>
  </si>
  <si>
    <t xml:space="preserve"> Participación porcentual Sociodemografía ERON por Regionales</t>
  </si>
  <si>
    <t>Consolidado ERON Regional Central</t>
  </si>
  <si>
    <t>Consolidado ERON Regional Occidente,</t>
  </si>
  <si>
    <t>Consolidado ERON Regional Norte</t>
  </si>
  <si>
    <t>Consolidado ERON Regional Oriente</t>
  </si>
  <si>
    <t>Consolidado ERON Regional Noroeste,</t>
  </si>
  <si>
    <t>Consolidado ERON Regional Viejo Caldas</t>
  </si>
  <si>
    <t>Redención de tiempo de condena por actividades de TEE</t>
  </si>
  <si>
    <t>EPMSCSRV Santa Rosa de Viterbo</t>
  </si>
  <si>
    <t>CPMSGAZ Garzón</t>
  </si>
  <si>
    <t>CPMSFLO-ERE-RM Florencia</t>
  </si>
  <si>
    <t>PMSLEGU La Esperanza de Guaduas</t>
  </si>
  <si>
    <t>PMS</t>
  </si>
  <si>
    <t xml:space="preserve">PMSHELIC Las Heliconias </t>
  </si>
  <si>
    <t>CPMMSFFA Facatativá</t>
  </si>
  <si>
    <t>CPMMS</t>
  </si>
  <si>
    <t>CPMSIPI-RM Ipiales</t>
  </si>
  <si>
    <t>EPMSCROL Roldanillo</t>
  </si>
  <si>
    <t>COCUC - ERE Cúcuta</t>
  </si>
  <si>
    <t>CPMSBEL Bello</t>
  </si>
  <si>
    <t>COIBA-ERE Ibagué</t>
  </si>
  <si>
    <t>7 Viejo Cal.</t>
  </si>
  <si>
    <t>PPL con medida de aseguramiento en Colombia, 2021</t>
  </si>
  <si>
    <t>Domiciliaria 
(incluye 247 Gestores de Paz)</t>
  </si>
  <si>
    <t>Total PPL 
INPEC</t>
  </si>
  <si>
    <t xml:space="preserve">Comportamiento PPL en Colombia, 2021 por meses </t>
  </si>
  <si>
    <t>Población reclusa intramuros a cargo del Inpec años 2015 – 2021: Tasa por 100 mil habitantes</t>
  </si>
  <si>
    <t>FUENTE: GEDIP - 2021</t>
  </si>
  <si>
    <t>FUENTE: GEDIP- 2021</t>
  </si>
  <si>
    <t xml:space="preserve">Población reclusa a cargo del Inpec años 2015 – 2021: Tasa por 100 mil habitantes
</t>
  </si>
  <si>
    <t>Total poblacion</t>
  </si>
  <si>
    <t>PPL a cargo del INPEC 2021: Tasa por 100 mil habitantes a partir de 18 años</t>
  </si>
  <si>
    <t xml:space="preserve">hombres </t>
  </si>
  <si>
    <t>mujeres</t>
  </si>
  <si>
    <t>Carcel y Penitenciaría de Media y Mínima Seguridad para Miembros de la Fuerza Pública Policía Nacional</t>
  </si>
  <si>
    <t>Cárcel y Penitenciaría de Media Seguridad</t>
  </si>
  <si>
    <t>Cárcel y Penitenciaría con Alta y Media Seguridad para Mujeres</t>
  </si>
  <si>
    <t>Penitenciaía de Media Seguridad</t>
  </si>
  <si>
    <t>Cosolidado población ERON por Regionales 2021</t>
  </si>
  <si>
    <t>ERON / Ubicación</t>
  </si>
  <si>
    <t>Primera             36</t>
  </si>
  <si>
    <t>Primera            20</t>
  </si>
  <si>
    <t>ERON en proceso de cierre temporal</t>
  </si>
  <si>
    <t>ERON con cierre temporal por reparacion infraestructura</t>
  </si>
  <si>
    <t>ERON en proceso cierre definitivo</t>
  </si>
  <si>
    <t>Ampliación y cierre de cupos ERON, 2021</t>
  </si>
  <si>
    <t>Capacidad ERON diciembre 2020</t>
  </si>
  <si>
    <t>Comportamiento cupos 2021</t>
  </si>
  <si>
    <t>Capacidad ERON 2021</t>
  </si>
  <si>
    <t>Capacidad 2021</t>
  </si>
  <si>
    <t>Ampliación y cierre cupos 2021</t>
  </si>
  <si>
    <t>CMSSFANT Santa Fe de Antioquia</t>
  </si>
  <si>
    <t>Ferero</t>
  </si>
  <si>
    <t>EPMSCIPI Ipiales</t>
  </si>
  <si>
    <t xml:space="preserve">EPMSCAGD Aguadas </t>
  </si>
  <si>
    <t>COIBA-ERE -JP Ibagué</t>
  </si>
  <si>
    <t>2021</t>
  </si>
  <si>
    <t>Comportamiento capacidad ERON, 2021</t>
  </si>
  <si>
    <t>Comportamiento PPL en  ERON, 2021</t>
  </si>
  <si>
    <t>Comportamiento sobrepoblación e índice de hacinamiento, 2021</t>
  </si>
  <si>
    <t>Comportamiento PPL intramuros 2021, por género</t>
  </si>
  <si>
    <t xml:space="preserve">                 Comportamiento PPL intramuros 2021, situación jurídica</t>
  </si>
  <si>
    <t xml:space="preserve">Comportamiento PPL sindicada intramuros 2021, meses de detención
</t>
  </si>
  <si>
    <t xml:space="preserve"> Comportamiento PPL condenada intramuros 2021, años de prisión</t>
  </si>
  <si>
    <t>Población reclusa a cargo del Inpec por Regionales 2021</t>
  </si>
  <si>
    <t xml:space="preserve"> Comportamiento PPL intramuros 2021, rango de edad hombres</t>
  </si>
  <si>
    <t xml:space="preserve"> Comportamiento PPL intramuros 2021, rango de edad mujeres</t>
  </si>
  <si>
    <t>Básica Secundaria y Media Vocacional</t>
  </si>
  <si>
    <t>Educación Superior</t>
  </si>
  <si>
    <t xml:space="preserve"> Comportamiento PPL intramuros vs registro delictivo 2021
</t>
  </si>
  <si>
    <t>Toital PPL</t>
  </si>
  <si>
    <t>Característica</t>
  </si>
  <si>
    <t xml:space="preserve">Primera
</t>
  </si>
  <si>
    <t xml:space="preserve">Segunda
</t>
  </si>
  <si>
    <t xml:space="preserve">Tercera 
</t>
  </si>
  <si>
    <t>Comportamiento ERON por generación, 2021</t>
  </si>
  <si>
    <t>Construidos entre 1611 y principios de la década del 90. A esta generación pertenece el 88,7% (118) de los ERON, su capacidad corresponde al 49,9% (40.164) de los cupos. En la actualidad reúnen el 55,2% (53.499) del total de la población intramuros y su índice de hacinamiento alcanza el 33,2%.</t>
  </si>
  <si>
    <t>Edificados en la década del 90 y comienzos del siglo XXI. Corresponde al 3,8% (5) del total de ERON, con el 13,2% (10.588) de los cupos. Su población carcelaria suma el 12,1% (11.715) de los reclusos, con un índice de hacinamiento de 10,6%.
Los ERON CPAMSEB El Barne y CPAMSPY-ERE Popayán tienen construcciones de primera y segunda generación, su información está acumulada en segunda generación.</t>
  </si>
  <si>
    <t>Construidos a finales de la década de 2000 y dados al servicio entre los años 2010 y 2011. Agrupa el 7,5% (10) de los establecimientos, cuya capacidad representa el 36,9% (29.677) del total de las plazas. Su población carcelaria corresponde al 32,7% (31.699) y el índice de hacinamiento se define en 6,8%. 
La CPMSACS-RM Acacias tiene construcción de segunda y tercera generación, se clasifica como de tercera generación.</t>
  </si>
  <si>
    <t>Clasificación establecimientos de Reclusión, 2021</t>
  </si>
  <si>
    <t>Capacidad ERON diciembre 2020: 80.683 cupos</t>
  </si>
  <si>
    <t>Tabla 1. Población reclusa en Colombia, 2017 - 2021</t>
  </si>
  <si>
    <t>Población país 2021</t>
  </si>
  <si>
    <t>MPL</t>
  </si>
  <si>
    <t>HPL</t>
  </si>
  <si>
    <t>Motivo domiciliaria</t>
  </si>
  <si>
    <t>Condena inferior a 5 años</t>
  </si>
  <si>
    <t>Cumplimiento 40% pena</t>
  </si>
  <si>
    <t>Delitos culposos</t>
  </si>
  <si>
    <t>Discapacidad</t>
  </si>
  <si>
    <t>Enfermedades catastroficas</t>
  </si>
  <si>
    <t>Gestante hijos menos de 3 años</t>
  </si>
  <si>
    <t>Mayor 60 años</t>
  </si>
  <si>
    <t>Decreto 546 de 2020</t>
  </si>
  <si>
    <t>promedio</t>
  </si>
  <si>
    <t>Ejercito Nacional</t>
  </si>
  <si>
    <t>Armada Nacional</t>
  </si>
  <si>
    <t>Fuerza Aérea de Colombia</t>
  </si>
  <si>
    <t>Policía Nacional</t>
  </si>
  <si>
    <t>DAS</t>
  </si>
  <si>
    <t>Otros</t>
  </si>
  <si>
    <t>total</t>
  </si>
  <si>
    <t>Servicores publicos 2017 - 2021</t>
  </si>
  <si>
    <t>Comportamiento PPL intramuros 2020, servidores públicos</t>
  </si>
  <si>
    <t>Funcionarios Fuerzas Armadas</t>
  </si>
  <si>
    <t>Otros funcionarios públlicos</t>
  </si>
  <si>
    <t>Comportamiento PPL intramural con condiciones excepcionales, 2021</t>
  </si>
  <si>
    <t xml:space="preserve">Comportamiento PPL intramuros por sexo vs registro delictivo 2021
</t>
  </si>
  <si>
    <t>PPL POR 
SEXO</t>
  </si>
  <si>
    <t xml:space="preserve"> EPMSC Roldanillo</t>
  </si>
  <si>
    <t xml:space="preserve"> EPMSC Bello</t>
  </si>
  <si>
    <t>DEMOGRAFIA ERON 2021</t>
  </si>
  <si>
    <t>PPL en programas psicosociales, 2021</t>
  </si>
  <si>
    <t>Cobertura PPL intramural en actividades ocupacionales y laborales, 2017 - 2021</t>
  </si>
  <si>
    <t>PPL postulada
Justicia y Paz</t>
  </si>
  <si>
    <t xml:space="preserve">Comportamiento PPL en domiciliaria 2017 - 2021, por situación jurídica
Tabla 49.  Comportamiento PPL en domiciliaria 2014 - 2018, por situación jurídica
Tabla 49.  Comportamiento PPL en domiciliaria 2014 - 2018, por situación jurídica
Tabla 49.  Comportamiento PPL en domiciliaria 2014 - 2018, por situación jurídica
Tabla 49.  Comportamiento PPL en domiciliaria 2014 - 2018, por situación jurídica
Tabla 49.  Comportamiento PPL en domiciliaria 2014 - 2018, por situación jurídica
Tabla 49.  Comportamiento PPL en domiciliaria 2014 - 2018, por situación jurídica
</t>
  </si>
  <si>
    <t>Distribución ERON por rango de cupos, 2021</t>
  </si>
  <si>
    <t>Comportamiento PPL en domiciliaria Vs incidencia delincuencial, 2021</t>
  </si>
  <si>
    <t>Comportamiento PPL en domiciliaria, 2021</t>
  </si>
  <si>
    <t>Comportamiento PPL con vigilancia electrónica, 2017 - 2021</t>
  </si>
  <si>
    <t>Comportamiento PPL con vigilancia electrónica, 2021</t>
  </si>
  <si>
    <t>Comportamiento PPL con vigilancia electrónica Vs incidencia delincuencial, 2021</t>
  </si>
  <si>
    <t>PPL reincidente a nivel nacional, promedio 2021</t>
  </si>
  <si>
    <t>delitos reincidentes 2021</t>
  </si>
  <si>
    <t>Comparativo PPL intramural vs reincidencia, 2021</t>
  </si>
  <si>
    <t>PPL Reincidente Vs PPL condenada 2017 - 2021</t>
  </si>
  <si>
    <t>Promedio participación reincidentes 
por ubicación</t>
  </si>
  <si>
    <t>Promedio PPL condenada</t>
  </si>
  <si>
    <t>Promedio reincidentes vs 
PPL condenada</t>
  </si>
  <si>
    <t>Promedio delitos PPL reincidente</t>
  </si>
  <si>
    <t xml:space="preserve">Promedio PPL reincidente Vs delitos </t>
  </si>
  <si>
    <t>Subrogados penales, 2021</t>
  </si>
  <si>
    <t>2do.</t>
  </si>
  <si>
    <t>3er.</t>
  </si>
  <si>
    <t>4to.</t>
  </si>
  <si>
    <t>Trimestre</t>
  </si>
  <si>
    <t>Administrativos</t>
  </si>
  <si>
    <t>Total funcionarios</t>
  </si>
  <si>
    <t>Cuerpo de Custodia 
y Vigilanciia - CCV</t>
  </si>
  <si>
    <t>PRIMER TRIMESTRE</t>
  </si>
  <si>
    <t>CCV Autorizada para capacitar en el Módulo LGTBI</t>
  </si>
  <si>
    <t>PPL Capacitada Módulo LGTBI</t>
  </si>
  <si>
    <t>CCV Actividad Módulo LGTBI</t>
  </si>
  <si>
    <t>SEGUNDO
TRIMESTRE</t>
  </si>
  <si>
    <t>TERCER
TRIMESTRE</t>
  </si>
  <si>
    <t>CUARTO
TRIMESTRE</t>
  </si>
  <si>
    <t>COMPARATIVO OPERATIVIDAD</t>
  </si>
  <si>
    <t xml:space="preserve"> Central</t>
  </si>
  <si>
    <t xml:space="preserve"> Occidental</t>
  </si>
  <si>
    <t xml:space="preserve"> Total</t>
  </si>
  <si>
    <t>COMISO A ESTUPEFACIENTE A PPL</t>
  </si>
  <si>
    <t>Marihuana</t>
  </si>
  <si>
    <t>Bazuco</t>
  </si>
  <si>
    <t>Cocaína</t>
  </si>
  <si>
    <t>Heroína</t>
  </si>
  <si>
    <t>Tipo comiso</t>
  </si>
  <si>
    <t>Baterías</t>
  </si>
  <si>
    <t>SimCard</t>
  </si>
  <si>
    <t>Cargadores</t>
  </si>
  <si>
    <t>Celulares</t>
  </si>
  <si>
    <t>Licor fabricación carcelaria</t>
  </si>
  <si>
    <t>Aguardiente</t>
  </si>
  <si>
    <t>Vino</t>
  </si>
  <si>
    <t>Ron</t>
  </si>
  <si>
    <t>COMISO TERMINALES MÓVILES A PPL</t>
  </si>
  <si>
    <t>Modalidad</t>
  </si>
  <si>
    <t>Fugas</t>
  </si>
  <si>
    <t>Hospital</t>
  </si>
  <si>
    <t xml:space="preserve">Remisión </t>
  </si>
  <si>
    <t>Recaturas</t>
  </si>
  <si>
    <t>Tentativa de fuga</t>
  </si>
  <si>
    <t>Seguridad territorial</t>
  </si>
  <si>
    <t>Control de personal</t>
  </si>
  <si>
    <t>Detección sustancias psicoactivas</t>
  </si>
  <si>
    <t>Detección sustancias explosivas</t>
  </si>
  <si>
    <t>Detección de celulares</t>
  </si>
  <si>
    <t>Actividad asistidas con caninos</t>
  </si>
  <si>
    <t>Búsqueda y rescate</t>
  </si>
  <si>
    <t>Especialidad canina</t>
  </si>
  <si>
    <t>Ejemplares</t>
  </si>
  <si>
    <t>VISITAS REALIZADAS 2021</t>
  </si>
  <si>
    <t>Revisión</t>
  </si>
  <si>
    <t>Retiro</t>
  </si>
  <si>
    <t>Instalación y reinstalación</t>
  </si>
  <si>
    <t>Estado PPL</t>
  </si>
  <si>
    <t>PPL intramuros por sexo</t>
  </si>
  <si>
    <t xml:space="preserve"> Total PPL</t>
  </si>
  <si>
    <t>Armada 
Nacional</t>
  </si>
  <si>
    <t xml:space="preserve">Fuerza 
Aérea </t>
  </si>
  <si>
    <t>Ejercito 
Nacional</t>
  </si>
  <si>
    <t>Policía 
Nacional</t>
  </si>
  <si>
    <t>Otros 
delitos</t>
  </si>
  <si>
    <t>Total 
delitos</t>
  </si>
  <si>
    <t>TOTAL PPL</t>
  </si>
  <si>
    <t>Total 
PPL</t>
  </si>
  <si>
    <t>Fase 
Confianza</t>
  </si>
  <si>
    <t>% PPL en Fase de Tratamiento</t>
  </si>
  <si>
    <t>Total 
PPL 
domiciliaria</t>
  </si>
  <si>
    <t>A-01 Gastos de Personal</t>
  </si>
  <si>
    <t>A-02 Adqusición de Bienes y Servicios</t>
  </si>
  <si>
    <t>A-03 Transferencias Corrientes</t>
  </si>
  <si>
    <t>A-05 Gastos de Comercialización y Producción</t>
  </si>
  <si>
    <t>A-08 Gastos por Tributos, Multas, Sanciones e Intereses de Mora</t>
  </si>
  <si>
    <t>Solicitado Anteproyecto de Presupuesto</t>
  </si>
  <si>
    <t>Déficit</t>
  </si>
  <si>
    <t>% Déficit</t>
  </si>
  <si>
    <t>Appropiado</t>
  </si>
  <si>
    <t xml:space="preserve"> Comportamiento Presupuestal Vigencia 2021</t>
  </si>
  <si>
    <t>Modificaciones Presupuestales 2021</t>
  </si>
  <si>
    <t>Total modificaciones</t>
  </si>
  <si>
    <t>Apropiación inicial</t>
  </si>
  <si>
    <t>Reserva Presupuestal 2021</t>
  </si>
  <si>
    <t>Ejecución</t>
  </si>
  <si>
    <t>Total Reserva</t>
  </si>
  <si>
    <t>Cuentas por pagar 2021</t>
  </si>
  <si>
    <t>Total Cuentas por Pagar</t>
  </si>
  <si>
    <t xml:space="preserve">Cobertura PPL condenada en Fase de Tratamiento, 2021
</t>
  </si>
  <si>
    <t xml:space="preserve">Variación </t>
  </si>
  <si>
    <t xml:space="preserve"> 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</si>
</sst>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&quot;$&quot;#,##0;[Red]\-&quot;$&quot;#,##0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0.0%"/>
    <numFmt numFmtId="170" formatCode="_-* #,##0.00\ [$€]_-;\-* #,##0.00\ [$€]_-;_-* &quot;-&quot;??\ [$€]_-;_-@_-"/>
    <numFmt numFmtId="171" formatCode="_([$€]* #,##0.00_);_([$€]* \(#,##0.00\);_([$€]* &quot;-&quot;??_);_(@_)"/>
    <numFmt numFmtId="172" formatCode="_ * #,##0.00_ ;_ * \-#,##0.00_ ;_ * &quot;-&quot;??_ ;_ @_ "/>
    <numFmt numFmtId="173" formatCode="_ &quot;$&quot;\ * #,##0.00_ ;_ &quot;$&quot;\ * \-#,##0.00_ ;_ &quot;$&quot;\ * &quot;-&quot;??_ ;_ @_ "/>
    <numFmt numFmtId="174" formatCode="_-* #,##0.00\ &quot;Pts&quot;_-;\-* #,##0.00\ &quot;Pts&quot;_-;_-* &quot;-&quot;??\ &quot;Pts&quot;_-;_-@_-"/>
    <numFmt numFmtId="175" formatCode="_ [$€-2]\ * #,##0.00_ ;_ [$€-2]\ * \-#,##0.00_ ;_ [$€-2]\ * &quot;-&quot;??_ "/>
    <numFmt numFmtId="176" formatCode="_-* #,##0\ _P_t_s_-;\-* #,##0\ _P_t_s_-;_-* &quot;-&quot;\ _P_t_s_-;_-@_-"/>
    <numFmt numFmtId="177" formatCode="[$-240A]d&quot; de &quot;mmmm&quot; de &quot;yyyy;@"/>
    <numFmt numFmtId="178" formatCode="_([$€-2]* #,##0.00_);_([$€-2]* \(#,##0.00\);_([$€-2]* &quot;-&quot;??_)"/>
    <numFmt numFmtId="179" formatCode="_-* #,##0.00\ _P_t_s_-;\-* #,##0.00\ _P_t_s_-;_-* &quot;-&quot;??\ _P_t_s_-;_-@_-"/>
    <numFmt numFmtId="180" formatCode="[$$-240A]\ #,##0"/>
    <numFmt numFmtId="181" formatCode="_-* #,##0\ &quot;Pts&quot;_-;\-* #,##0\ &quot;Pts&quot;_-;_-* &quot;-&quot;\ &quot;Pts&quot;_-;_-@_-"/>
    <numFmt numFmtId="182" formatCode="_(* #,##0.00_);_(* \(#,##0.00\);_(* \-??_);_(@_)"/>
    <numFmt numFmtId="183" formatCode="_ [$€]\ * #,##0.00_ ;_ [$€]\ * \-#,##0.00_ ;_ [$€]\ * &quot;-&quot;??_ ;_ @_ "/>
    <numFmt numFmtId="184" formatCode="#,##0.000"/>
    <numFmt numFmtId="185" formatCode="d&quot;/&quot;m&quot;/&quot;yyyy"/>
    <numFmt numFmtId="186" formatCode="_(0_);_(\-0;?;_(@_)"/>
    <numFmt numFmtId="187" formatCode="#,##0.0"/>
  </numFmts>
  <fonts count="20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u/>
      <sz val="12.65"/>
      <color indexed="12"/>
      <name val="Calibri"/>
      <family val="2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2.65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rgb="FF00000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color theme="0"/>
      <name val="Arial"/>
      <family val="2"/>
    </font>
    <font>
      <sz val="10"/>
      <name val="Courier"/>
      <family val="3"/>
    </font>
    <font>
      <sz val="10"/>
      <color indexed="8"/>
      <name val="MS Sans Serif"/>
      <family val="2"/>
    </font>
    <font>
      <sz val="13"/>
      <color theme="1"/>
      <name val="Arial"/>
      <family val="2"/>
    </font>
    <font>
      <sz val="13"/>
      <color theme="0"/>
      <name val="Arial"/>
      <family val="2"/>
    </font>
    <font>
      <sz val="14"/>
      <color theme="1"/>
      <name val="Arial"/>
      <family val="2"/>
    </font>
    <font>
      <sz val="6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FFFFFF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14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sz val="8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72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9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theme="1"/>
      <name val="Candara"/>
      <family val="2"/>
    </font>
    <font>
      <sz val="18"/>
      <color theme="1"/>
      <name val="Arial"/>
      <family val="2"/>
    </font>
    <font>
      <sz val="18"/>
      <color theme="0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Arial"/>
      <family val="2"/>
    </font>
    <font>
      <sz val="10"/>
      <name val="Droid Serif"/>
    </font>
    <font>
      <sz val="14.5"/>
      <color theme="1"/>
      <name val="Arial"/>
      <family val="2"/>
    </font>
    <font>
      <b/>
      <sz val="13"/>
      <color theme="0"/>
      <name val="Arial"/>
      <family val="2"/>
    </font>
    <font>
      <b/>
      <sz val="13"/>
      <color rgb="FFFF0000"/>
      <name val="Arial"/>
      <family val="2"/>
    </font>
    <font>
      <sz val="8"/>
      <name val="Droid Serif"/>
    </font>
    <font>
      <sz val="9"/>
      <name val="Droid Serif"/>
    </font>
    <font>
      <b/>
      <sz val="12"/>
      <color rgb="FF0C343D"/>
      <name val="Droid Serif"/>
    </font>
    <font>
      <b/>
      <sz val="14"/>
      <color rgb="FF0C343D"/>
      <name val="Droid Serif"/>
    </font>
    <font>
      <sz val="9"/>
      <color rgb="FFFFFFFF"/>
      <name val="Droid Serif"/>
    </font>
    <font>
      <b/>
      <sz val="11"/>
      <name val="Droid Serif"/>
    </font>
    <font>
      <u/>
      <sz val="11"/>
      <color theme="10"/>
      <name val="Arial"/>
      <family val="2"/>
    </font>
    <font>
      <b/>
      <sz val="11"/>
      <name val="Calibri"/>
      <family val="2"/>
      <scheme val="minor"/>
    </font>
    <font>
      <sz val="13"/>
      <name val="Arial"/>
      <family val="2"/>
    </font>
    <font>
      <sz val="34"/>
      <color rgb="FF134F5C"/>
      <name val="Georgia"/>
      <family val="1"/>
    </font>
    <font>
      <b/>
      <sz val="33"/>
      <color rgb="FF134F5C"/>
      <name val="Georgia"/>
      <family val="1"/>
    </font>
    <font>
      <b/>
      <sz val="6"/>
      <color rgb="FF134F5C"/>
      <name val="Verdana"/>
      <family val="2"/>
    </font>
    <font>
      <sz val="8"/>
      <name val="Cambria"/>
      <family val="1"/>
    </font>
    <font>
      <b/>
      <sz val="10"/>
      <color rgb="FFFFFFFF"/>
      <name val="Cambria"/>
      <family val="1"/>
    </font>
    <font>
      <sz val="11"/>
      <color rgb="FFFFFFFF"/>
      <name val="Cambria"/>
      <family val="1"/>
    </font>
    <font>
      <sz val="10"/>
      <name val="Cambria"/>
      <family val="1"/>
    </font>
    <font>
      <sz val="9"/>
      <color rgb="FFFFFFFF"/>
      <name val="Cambria"/>
      <family val="1"/>
    </font>
    <font>
      <b/>
      <sz val="11"/>
      <color rgb="FFFFFFFF"/>
      <name val="Cambria"/>
      <family val="1"/>
    </font>
    <font>
      <sz val="6"/>
      <name val="Cambria"/>
      <family val="1"/>
    </font>
    <font>
      <b/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sz val="20"/>
      <name val="Arial"/>
      <family val="2"/>
    </font>
    <font>
      <b/>
      <sz val="14"/>
      <color theme="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3"/>
      <color rgb="FF000000"/>
      <name val="Arial"/>
      <family val="2"/>
    </font>
    <font>
      <sz val="13"/>
      <color rgb="FF000000"/>
      <name val="Arial"/>
      <family val="2"/>
    </font>
    <font>
      <b/>
      <sz val="12"/>
      <color rgb="FF000000"/>
      <name val="Arial"/>
      <family val="2"/>
    </font>
    <font>
      <b/>
      <sz val="13"/>
      <color theme="1"/>
      <name val="Arial"/>
      <family val="2"/>
    </font>
    <font>
      <sz val="11"/>
      <color rgb="FF000000"/>
      <name val="Arial"/>
      <family val="2"/>
    </font>
    <font>
      <sz val="13"/>
      <color rgb="FFFF0000"/>
      <name val="Arial"/>
      <family val="2"/>
    </font>
    <font>
      <sz val="13"/>
      <color rgb="FFC00000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b/>
      <sz val="14.5"/>
      <color theme="0"/>
      <name val="Arial"/>
      <family val="2"/>
    </font>
    <font>
      <b/>
      <sz val="14"/>
      <name val="Arial"/>
      <family val="2"/>
    </font>
    <font>
      <b/>
      <sz val="20"/>
      <color theme="0"/>
      <name val="Arial"/>
      <family val="2"/>
    </font>
    <font>
      <sz val="20"/>
      <color theme="1"/>
      <name val="Arial"/>
      <family val="2"/>
    </font>
    <font>
      <b/>
      <sz val="14"/>
      <color rgb="FFFFFFFF"/>
      <name val="Arial"/>
      <family val="2"/>
    </font>
    <font>
      <b/>
      <sz val="9"/>
      <color theme="1"/>
      <name val="Droid Serif"/>
    </font>
    <font>
      <sz val="9"/>
      <name val="Segoe UI"/>
      <family val="2"/>
    </font>
    <font>
      <sz val="12"/>
      <color rgb="FF333333"/>
      <name val="Open_sansbold"/>
    </font>
    <font>
      <b/>
      <sz val="20"/>
      <color rgb="FFC00000"/>
      <name val="Arial"/>
      <family val="2"/>
    </font>
    <font>
      <sz val="20"/>
      <color rgb="FFC00000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6"/>
      <color theme="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Quattrocento Sans"/>
      <family val="2"/>
    </font>
    <font>
      <sz val="14"/>
      <color rgb="FFC00000"/>
      <name val="Arial"/>
      <family val="2"/>
    </font>
    <font>
      <b/>
      <sz val="14"/>
      <color rgb="FFC00000"/>
      <name val="Arial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u/>
      <sz val="10"/>
      <color theme="10"/>
      <name val="Arial"/>
      <family val="2"/>
    </font>
    <font>
      <sz val="11"/>
      <color indexed="14"/>
      <name val="Calibri"/>
      <family val="2"/>
      <scheme val="minor"/>
    </font>
    <font>
      <sz val="11"/>
      <color rgb="FF000000"/>
      <name val="Calibri"/>
      <family val="2"/>
    </font>
    <font>
      <b/>
      <sz val="13"/>
      <color indexed="62"/>
      <name val="Calibri"/>
      <family val="2"/>
      <scheme val="minor"/>
    </font>
    <font>
      <b/>
      <sz val="16"/>
      <color indexed="9"/>
      <name val="Arial"/>
      <family val="2"/>
    </font>
    <font>
      <sz val="18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FFFFFF"/>
      <name val="Arial"/>
      <family val="2"/>
    </font>
    <font>
      <sz val="19"/>
      <color theme="1"/>
      <name val="Arial"/>
      <family val="2"/>
    </font>
    <font>
      <b/>
      <sz val="10"/>
      <name val="Droid Serif"/>
    </font>
    <font>
      <b/>
      <sz val="9"/>
      <color theme="0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Arial"/>
      <family val="2"/>
    </font>
    <font>
      <b/>
      <sz val="15"/>
      <color theme="0"/>
      <name val="Arial"/>
      <family val="2"/>
    </font>
    <font>
      <sz val="12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i/>
      <sz val="15"/>
      <color theme="1"/>
      <name val="Arial"/>
      <family val="2"/>
    </font>
    <font>
      <b/>
      <sz val="15"/>
      <color rgb="FFFFFFFF"/>
      <name val="Arial"/>
      <family val="2"/>
    </font>
  </fonts>
  <fills count="12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C5A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A5AF"/>
        <bgColor rgb="FF76A5AF"/>
      </patternFill>
    </fill>
    <fill>
      <patternFill patternType="solid">
        <fgColor rgb="FF00FF00"/>
        <bgColor rgb="FF00FF00"/>
      </patternFill>
    </fill>
    <fill>
      <patternFill patternType="solid">
        <fgColor rgb="FF9FC5E8"/>
        <bgColor rgb="FF9FC5E8"/>
      </patternFill>
    </fill>
    <fill>
      <patternFill patternType="solid">
        <fgColor rgb="FF3D85C6"/>
        <bgColor rgb="FF3D85C6"/>
      </patternFill>
    </fill>
    <fill>
      <patternFill patternType="solid">
        <fgColor rgb="FF0C61AE"/>
        <bgColor rgb="FF0C61AE"/>
      </patternFill>
    </fill>
    <fill>
      <patternFill patternType="solid">
        <fgColor rgb="FF0B5394"/>
        <bgColor rgb="FF0B5394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3425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466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425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2F829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4663"/>
        <bgColor rgb="FF004663"/>
      </patternFill>
    </fill>
    <fill>
      <patternFill patternType="solid">
        <fgColor rgb="FFC6D9F0"/>
        <bgColor rgb="FFC6D9F0"/>
      </patternFill>
    </fill>
    <fill>
      <patternFill patternType="solid">
        <fgColor theme="3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indexed="41"/>
      </patternFill>
    </fill>
    <fill>
      <patternFill patternType="solid">
        <fgColor indexed="19"/>
      </patternFill>
    </fill>
    <fill>
      <patternFill patternType="solid">
        <fgColor indexed="22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FEFEF"/>
      </patternFill>
    </fill>
    <fill>
      <patternFill patternType="solid">
        <fgColor theme="6" tint="0.39997558519241921"/>
        <bgColor rgb="FFEFEFEF"/>
      </patternFill>
    </fill>
    <fill>
      <patternFill patternType="solid">
        <fgColor theme="0"/>
        <bgColor rgb="FFEFEFEF"/>
      </patternFill>
    </fill>
    <fill>
      <patternFill patternType="solid">
        <fgColor rgb="FFFFFF99"/>
        <bgColor indexed="64"/>
      </patternFill>
    </fill>
    <fill>
      <patternFill patternType="solid">
        <fgColor rgb="FF004663"/>
        <bgColor theme="4" tint="0.79998168889431442"/>
      </patternFill>
    </fill>
    <fill>
      <patternFill patternType="solid">
        <fgColor rgb="FF004663"/>
        <bgColor theme="0" tint="-0.14999847407452621"/>
      </patternFill>
    </fill>
    <fill>
      <patternFill patternType="solid">
        <fgColor theme="3" tint="0.79998168889431442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134F5C"/>
        <bgColor indexed="64"/>
      </patternFill>
    </fill>
  </fills>
  <borders count="6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2041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4C5A"/>
      </top>
      <bottom style="thin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rgb="FF004C5A"/>
      </left>
      <right style="thin">
        <color rgb="FF004C5A"/>
      </right>
      <top/>
      <bottom style="medium">
        <color rgb="FF004C5A"/>
      </bottom>
      <diagonal/>
    </border>
    <border>
      <left style="thin">
        <color rgb="FF204162"/>
      </left>
      <right style="thin">
        <color rgb="FF004C5A"/>
      </right>
      <top/>
      <bottom/>
      <diagonal/>
    </border>
    <border>
      <left/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/>
      <diagonal/>
    </border>
    <border>
      <left style="thin">
        <color rgb="FF004C5A"/>
      </left>
      <right style="medium">
        <color rgb="FF004C5A"/>
      </right>
      <top/>
      <bottom/>
      <diagonal/>
    </border>
    <border>
      <left style="medium">
        <color rgb="FF004C5A"/>
      </left>
      <right style="thin">
        <color rgb="FF004C5A"/>
      </right>
      <top/>
      <bottom style="medium">
        <color rgb="FF004C5A"/>
      </bottom>
      <diagonal/>
    </border>
    <border>
      <left style="thin">
        <color rgb="FF004C5A"/>
      </left>
      <right style="medium">
        <color rgb="FF004C5A"/>
      </right>
      <top/>
      <bottom style="medium">
        <color rgb="FF004C5A"/>
      </bottom>
      <diagonal/>
    </border>
    <border>
      <left/>
      <right/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204162"/>
      </left>
      <right style="thin">
        <color theme="0"/>
      </right>
      <top style="medium">
        <color rgb="FF204162"/>
      </top>
      <bottom style="thin">
        <color theme="0"/>
      </bottom>
      <diagonal/>
    </border>
    <border>
      <left style="thin">
        <color theme="0"/>
      </left>
      <right/>
      <top style="medium">
        <color rgb="FF204162"/>
      </top>
      <bottom style="thin">
        <color theme="0"/>
      </bottom>
      <diagonal/>
    </border>
    <border>
      <left/>
      <right style="thin">
        <color theme="0"/>
      </right>
      <top style="medium">
        <color rgb="FF204162"/>
      </top>
      <bottom style="thin">
        <color theme="0"/>
      </bottom>
      <diagonal/>
    </border>
    <border>
      <left style="medium">
        <color rgb="FF204162"/>
      </left>
      <right style="thin">
        <color theme="0"/>
      </right>
      <top style="thin">
        <color theme="0"/>
      </top>
      <bottom style="thin">
        <color rgb="FF2041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/>
      <right/>
      <top style="thin">
        <color theme="0"/>
      </top>
      <bottom style="medium">
        <color rgb="FF004C5A"/>
      </bottom>
      <diagonal/>
    </border>
    <border>
      <left/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/>
      <diagonal/>
    </border>
    <border>
      <left style="medium">
        <color rgb="FF004C5A"/>
      </left>
      <right style="thin">
        <color theme="0"/>
      </right>
      <top style="thin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thin">
        <color rgb="FF004C5A"/>
      </top>
      <bottom/>
      <diagonal/>
    </border>
    <border>
      <left style="thin">
        <color theme="0"/>
      </left>
      <right style="medium">
        <color rgb="FF004C5A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204162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/>
      <diagonal/>
    </border>
    <border>
      <left style="thin">
        <color rgb="FF204162"/>
      </left>
      <right style="thin">
        <color rgb="FF204162"/>
      </right>
      <top/>
      <bottom/>
      <diagonal/>
    </border>
    <border>
      <left style="medium">
        <color rgb="FF004C5A"/>
      </left>
      <right style="thin">
        <color theme="0"/>
      </right>
      <top/>
      <bottom style="thin">
        <color theme="0"/>
      </bottom>
      <diagonal/>
    </border>
    <border>
      <left style="medium">
        <color rgb="FF004C5A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theme="8" tint="-0.499984740745262"/>
      </left>
      <right style="thin">
        <color theme="0"/>
      </right>
      <top/>
      <bottom style="medium">
        <color theme="8" tint="-0.499984740745262"/>
      </bottom>
      <diagonal/>
    </border>
    <border>
      <left style="thin">
        <color theme="0"/>
      </left>
      <right/>
      <top style="medium">
        <color rgb="FF004C5A"/>
      </top>
      <bottom/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theme="0"/>
      </right>
      <top style="thin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 style="medium">
        <color rgb="FF004C5A"/>
      </right>
      <top/>
      <bottom style="medium">
        <color rgb="FF004C5A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thin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thin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/>
      <diagonal/>
    </border>
    <border>
      <left style="thin">
        <color theme="0"/>
      </left>
      <right style="medium">
        <color rgb="FF004C5A"/>
      </right>
      <top style="thin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indexed="64"/>
      </top>
      <bottom/>
      <diagonal/>
    </border>
    <border>
      <left style="thin">
        <color rgb="FF004C5A"/>
      </left>
      <right style="thin">
        <color rgb="FF004C5A"/>
      </right>
      <top style="thin">
        <color indexed="64"/>
      </top>
      <bottom/>
      <diagonal/>
    </border>
    <border>
      <left style="medium">
        <color rgb="FF004C5A"/>
      </left>
      <right/>
      <top/>
      <bottom style="medium">
        <color rgb="FF004C5A"/>
      </bottom>
      <diagonal/>
    </border>
    <border>
      <left/>
      <right style="thin">
        <color theme="0"/>
      </right>
      <top/>
      <bottom style="medium">
        <color rgb="FF004C5A"/>
      </bottom>
      <diagonal/>
    </border>
    <border>
      <left style="medium">
        <color rgb="FF004C5A"/>
      </left>
      <right/>
      <top style="medium">
        <color rgb="FF004C5A"/>
      </top>
      <bottom/>
      <diagonal/>
    </border>
    <border>
      <left style="medium">
        <color theme="0"/>
      </left>
      <right style="medium">
        <color theme="0"/>
      </right>
      <top style="medium">
        <color rgb="FF004C5A"/>
      </top>
      <bottom/>
      <diagonal/>
    </border>
    <border>
      <left style="medium">
        <color theme="0"/>
      </left>
      <right/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/>
      <right/>
      <top style="medium">
        <color rgb="FF204162"/>
      </top>
      <bottom style="thin">
        <color theme="0"/>
      </bottom>
      <diagonal/>
    </border>
    <border>
      <left/>
      <right style="thin">
        <color theme="0"/>
      </right>
      <top style="thin">
        <color rgb="FF004C5A"/>
      </top>
      <bottom style="thin">
        <color rgb="FF004C5A"/>
      </bottom>
      <diagonal/>
    </border>
    <border>
      <left/>
      <right style="thin">
        <color theme="0"/>
      </right>
      <top style="thin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rgb="FF004C5A"/>
      </right>
      <top style="medium">
        <color rgb="FF004C5A"/>
      </top>
      <bottom style="thin">
        <color rgb="FF004C5A"/>
      </bottom>
      <diagonal/>
    </border>
    <border>
      <left/>
      <right style="medium">
        <color rgb="FF004C5A"/>
      </right>
      <top style="medium">
        <color rgb="FF004C5A"/>
      </top>
      <bottom/>
      <diagonal/>
    </border>
    <border>
      <left style="thin">
        <color theme="0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204162"/>
      </top>
      <bottom/>
      <diagonal/>
    </border>
    <border>
      <left style="medium">
        <color rgb="FF204162"/>
      </left>
      <right style="thin">
        <color theme="0"/>
      </right>
      <top style="thin">
        <color theme="0"/>
      </top>
      <bottom style="medium">
        <color rgb="FF2041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thin">
        <color rgb="FF204162"/>
      </right>
      <top/>
      <bottom/>
      <diagonal/>
    </border>
    <border>
      <left style="thin">
        <color rgb="FF204162"/>
      </left>
      <right style="medium">
        <color theme="8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thin">
        <color theme="0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0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0"/>
      </left>
      <right style="medium">
        <color rgb="FF204162"/>
      </right>
      <top style="medium">
        <color rgb="FF204162"/>
      </top>
      <bottom/>
      <diagonal/>
    </border>
    <border>
      <left style="thin">
        <color theme="0"/>
      </left>
      <right style="medium">
        <color rgb="FF204162"/>
      </right>
      <top/>
      <bottom style="medium">
        <color rgb="FF204162"/>
      </bottom>
      <diagonal/>
    </border>
    <border>
      <left style="thin">
        <color rgb="FF004C5A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2041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/>
      <bottom/>
      <diagonal/>
    </border>
    <border>
      <left style="medium">
        <color theme="8" tint="-0.499984740745262"/>
      </left>
      <right style="thin">
        <color theme="0"/>
      </right>
      <top style="medium">
        <color theme="8" tint="-0.499984740745262"/>
      </top>
      <bottom/>
      <diagonal/>
    </border>
    <border>
      <left style="thin">
        <color rgb="FF004C5A"/>
      </left>
      <right/>
      <top/>
      <bottom style="medium">
        <color rgb="FF004C5A"/>
      </bottom>
      <diagonal/>
    </border>
    <border>
      <left/>
      <right/>
      <top style="thin">
        <color rgb="FF0B5394"/>
      </top>
      <bottom style="thin">
        <color rgb="FF134F5C"/>
      </bottom>
      <diagonal/>
    </border>
    <border>
      <left/>
      <right/>
      <top/>
      <bottom style="thin">
        <color rgb="FF0C343D"/>
      </bottom>
      <diagonal/>
    </border>
    <border>
      <left/>
      <right style="thin">
        <color rgb="FF3D85C6"/>
      </right>
      <top style="thin">
        <color rgb="FF3D85C6"/>
      </top>
      <bottom/>
      <diagonal/>
    </border>
    <border>
      <left style="thin">
        <color rgb="FF3C78D8"/>
      </left>
      <right/>
      <top style="thin">
        <color rgb="FF3C78D8"/>
      </top>
      <bottom style="thin">
        <color rgb="FF3C78D8"/>
      </bottom>
      <diagonal/>
    </border>
    <border>
      <left/>
      <right/>
      <top style="thin">
        <color rgb="FF3C78D8"/>
      </top>
      <bottom style="thin">
        <color rgb="FF3C78D8"/>
      </bottom>
      <diagonal/>
    </border>
    <border>
      <left/>
      <right style="thin">
        <color rgb="FF3C78D8"/>
      </right>
      <top style="thin">
        <color rgb="FF3C78D8"/>
      </top>
      <bottom style="thin">
        <color rgb="FF3C78D8"/>
      </bottom>
      <diagonal/>
    </border>
    <border>
      <left/>
      <right/>
      <top style="thin">
        <color rgb="FF3C78D8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C78D8"/>
      </top>
      <bottom style="thin">
        <color rgb="FFCFE2F3"/>
      </bottom>
      <diagonal/>
    </border>
    <border>
      <left style="thin">
        <color rgb="FFCFE2F3"/>
      </left>
      <right/>
      <top style="thin">
        <color rgb="FFCFE2F3"/>
      </top>
      <bottom style="thin">
        <color rgb="FFCFE2F3"/>
      </bottom>
      <diagonal/>
    </border>
    <border>
      <left/>
      <right/>
      <top style="thin">
        <color rgb="FFCFE2F3"/>
      </top>
      <bottom style="thin">
        <color rgb="FFCFE2F3"/>
      </bottom>
      <diagonal/>
    </border>
    <border>
      <left style="thin">
        <color rgb="FFCFE2F3"/>
      </left>
      <right/>
      <top/>
      <bottom/>
      <diagonal/>
    </border>
    <border>
      <left style="thin">
        <color rgb="FFCFE2F3"/>
      </left>
      <right/>
      <top/>
      <bottom style="thin">
        <color rgb="FFCFE2F3"/>
      </bottom>
      <diagonal/>
    </border>
    <border>
      <left/>
      <right style="thin">
        <color rgb="FFCFE2F3"/>
      </right>
      <top/>
      <bottom style="thin">
        <color rgb="FFCFE2F3"/>
      </bottom>
      <diagonal/>
    </border>
    <border>
      <left/>
      <right style="thin">
        <color rgb="FFCFE2F3"/>
      </right>
      <top style="thin">
        <color rgb="FFCFE2F3"/>
      </top>
      <bottom style="thin">
        <color rgb="FFCFE2F3"/>
      </bottom>
      <diagonal/>
    </border>
    <border>
      <left style="thin">
        <color rgb="FFCFE2F3"/>
      </left>
      <right style="thin">
        <color rgb="FFCFE2F3"/>
      </right>
      <top style="thin">
        <color rgb="FFCFE2F3"/>
      </top>
      <bottom/>
      <diagonal/>
    </border>
    <border>
      <left style="thin">
        <color rgb="FF3C78D8"/>
      </left>
      <right style="thin">
        <color rgb="FFCFE2F3"/>
      </right>
      <top/>
      <bottom style="thin">
        <color rgb="FFCFE2F3"/>
      </bottom>
      <diagonal/>
    </border>
    <border>
      <left style="thin">
        <color rgb="FFCFE2F3"/>
      </left>
      <right style="thin">
        <color rgb="FFCFE2F3"/>
      </right>
      <top style="thin">
        <color rgb="FFD9D9D9"/>
      </top>
      <bottom style="thin">
        <color rgb="FFCFE2F3"/>
      </bottom>
      <diagonal/>
    </border>
    <border>
      <left style="thin">
        <color rgb="FFCFE2F3"/>
      </left>
      <right style="thin">
        <color rgb="FFCFE2F3"/>
      </right>
      <top/>
      <bottom/>
      <diagonal/>
    </border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  <diagonal/>
    </border>
    <border>
      <left style="thin">
        <color rgb="FF1155CC"/>
      </left>
      <right style="thin">
        <color rgb="FF1155CC"/>
      </right>
      <top/>
      <bottom style="thin">
        <color rgb="FF6D9EEB"/>
      </bottom>
      <diagonal/>
    </border>
    <border>
      <left style="thin">
        <color rgb="FF1155CC"/>
      </left>
      <right style="thin">
        <color rgb="FF6D9EEB"/>
      </right>
      <top/>
      <bottom style="thin">
        <color rgb="FF6D9EEB"/>
      </bottom>
      <diagonal/>
    </border>
    <border>
      <left style="thin">
        <color rgb="FF6D9EEB"/>
      </left>
      <right style="thin">
        <color rgb="FF1155CC"/>
      </right>
      <top style="thin">
        <color rgb="FF1155CC"/>
      </top>
      <bottom style="thin">
        <color rgb="FF6D9EEB"/>
      </bottom>
      <diagonal/>
    </border>
    <border>
      <left/>
      <right style="thin">
        <color rgb="FF6D9EEB"/>
      </right>
      <top/>
      <bottom style="thin">
        <color rgb="FF6D9EEB"/>
      </bottom>
      <diagonal/>
    </border>
    <border>
      <left style="thin">
        <color rgb="FF6D9EEB"/>
      </left>
      <right style="thin">
        <color rgb="FF1155CC"/>
      </right>
      <top/>
      <bottom style="thin">
        <color rgb="FF6D9EEB"/>
      </bottom>
      <diagonal/>
    </border>
    <border>
      <left style="thin">
        <color rgb="FF1155CC"/>
      </left>
      <right style="thin">
        <color rgb="FF1155CC"/>
      </right>
      <top style="thin">
        <color rgb="FF6D9EEB"/>
      </top>
      <bottom style="thin">
        <color rgb="FF6D9EEB"/>
      </bottom>
      <diagonal/>
    </border>
    <border>
      <left style="thin">
        <color rgb="FF1155CC"/>
      </left>
      <right style="thin">
        <color rgb="FF6D9EEB"/>
      </right>
      <top style="thin">
        <color rgb="FF6D9EEB"/>
      </top>
      <bottom style="thin">
        <color rgb="FF6D9EEB"/>
      </bottom>
      <diagonal/>
    </border>
    <border>
      <left style="thin">
        <color rgb="FF6D9EEB"/>
      </left>
      <right style="thin">
        <color rgb="FF1155CC"/>
      </right>
      <top style="thin">
        <color rgb="FF6D9EEB"/>
      </top>
      <bottom style="thin">
        <color rgb="FF6D9EEB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theme="0"/>
      </bottom>
      <diagonal/>
    </border>
    <border>
      <left style="thin">
        <color theme="0"/>
      </left>
      <right/>
      <top style="thin">
        <color theme="0"/>
      </top>
      <bottom style="dashed">
        <color theme="0"/>
      </bottom>
      <diagonal/>
    </border>
    <border>
      <left/>
      <right/>
      <top style="thin">
        <color theme="0"/>
      </top>
      <bottom style="dashed">
        <color theme="0"/>
      </bottom>
      <diagonal/>
    </border>
    <border>
      <left/>
      <right/>
      <top/>
      <bottom style="thin">
        <color rgb="FF45818E"/>
      </bottom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rgb="FF00425C"/>
      </left>
      <right style="thin">
        <color rgb="FF00425C"/>
      </right>
      <top/>
      <bottom/>
      <diagonal/>
    </border>
    <border>
      <left style="thin">
        <color rgb="FF00425C"/>
      </left>
      <right style="thin">
        <color rgb="FF00425C"/>
      </right>
      <top/>
      <bottom style="thin">
        <color rgb="FF00425C"/>
      </bottom>
      <diagonal/>
    </border>
    <border>
      <left style="medium">
        <color rgb="FF00425C"/>
      </left>
      <right style="thin">
        <color theme="0"/>
      </right>
      <top style="medium">
        <color rgb="FF00425C"/>
      </top>
      <bottom/>
      <diagonal/>
    </border>
    <border>
      <left style="thin">
        <color theme="0"/>
      </left>
      <right style="thin">
        <color theme="0"/>
      </right>
      <top style="medium">
        <color rgb="FF00425C"/>
      </top>
      <bottom/>
      <diagonal/>
    </border>
    <border>
      <left style="thin">
        <color theme="0"/>
      </left>
      <right style="medium">
        <color rgb="FF00425C"/>
      </right>
      <top style="medium">
        <color rgb="FF00425C"/>
      </top>
      <bottom/>
      <diagonal/>
    </border>
    <border>
      <left style="thin">
        <color rgb="FF00425C"/>
      </left>
      <right style="medium">
        <color rgb="FF00425C"/>
      </right>
      <top/>
      <bottom/>
      <diagonal/>
    </border>
    <border>
      <left style="thin">
        <color rgb="FF00425C"/>
      </left>
      <right style="medium">
        <color rgb="FF00425C"/>
      </right>
      <top/>
      <bottom style="thin">
        <color rgb="FF00425C"/>
      </bottom>
      <diagonal/>
    </border>
    <border>
      <left style="medium">
        <color rgb="FF00425C"/>
      </left>
      <right style="thin">
        <color theme="0"/>
      </right>
      <top style="medium">
        <color rgb="FF00425C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25C"/>
      </top>
      <bottom style="thin">
        <color theme="0"/>
      </bottom>
      <diagonal/>
    </border>
    <border>
      <left style="medium">
        <color rgb="FF00425C"/>
      </left>
      <right style="thin">
        <color theme="0"/>
      </right>
      <top style="thin">
        <color theme="0"/>
      </top>
      <bottom style="thin">
        <color rgb="FF004C5A"/>
      </bottom>
      <diagonal/>
    </border>
    <border>
      <left style="thin">
        <color theme="0"/>
      </left>
      <right style="medium">
        <color rgb="FF00425C"/>
      </right>
      <top/>
      <bottom style="thin">
        <color rgb="FF004C5A"/>
      </bottom>
      <diagonal/>
    </border>
    <border>
      <left style="medium">
        <color rgb="FF00425C"/>
      </left>
      <right style="thin">
        <color rgb="FF004C5A"/>
      </right>
      <top/>
      <bottom/>
      <diagonal/>
    </border>
    <border>
      <left style="medium">
        <color rgb="FF00425C"/>
      </left>
      <right/>
      <top style="thin">
        <color rgb="FF004C5A"/>
      </top>
      <bottom style="medium">
        <color rgb="FF00425C"/>
      </bottom>
      <diagonal/>
    </border>
    <border>
      <left/>
      <right style="thin">
        <color theme="0"/>
      </right>
      <top style="thin">
        <color rgb="FF004C5A"/>
      </top>
      <bottom style="medium">
        <color rgb="FF00425C"/>
      </bottom>
      <diagonal/>
    </border>
    <border>
      <left style="thin">
        <color theme="0"/>
      </left>
      <right style="thin">
        <color theme="0"/>
      </right>
      <top style="thin">
        <color rgb="FF004C5A"/>
      </top>
      <bottom style="medium">
        <color rgb="FF00425C"/>
      </bottom>
      <diagonal/>
    </border>
    <border>
      <left style="thin">
        <color theme="0"/>
      </left>
      <right style="medium">
        <color rgb="FF00425C"/>
      </right>
      <top style="thin">
        <color rgb="FF004C5A"/>
      </top>
      <bottom style="medium">
        <color rgb="FF00425C"/>
      </bottom>
      <diagonal/>
    </border>
    <border>
      <left style="medium">
        <color rgb="FF00425C"/>
      </left>
      <right style="thin">
        <color rgb="FF00425C"/>
      </right>
      <top style="thin">
        <color rgb="FF004C5A"/>
      </top>
      <bottom/>
      <diagonal/>
    </border>
    <border>
      <left style="thin">
        <color rgb="FF00425C"/>
      </left>
      <right style="thin">
        <color rgb="FF00425C"/>
      </right>
      <top style="thin">
        <color rgb="FF004C5A"/>
      </top>
      <bottom/>
      <diagonal/>
    </border>
    <border>
      <left style="thin">
        <color rgb="FF00425C"/>
      </left>
      <right style="thin">
        <color rgb="FF00425C"/>
      </right>
      <top style="thin">
        <color rgb="FF004C5A"/>
      </top>
      <bottom style="thin">
        <color theme="0"/>
      </bottom>
      <diagonal/>
    </border>
    <border>
      <left style="thin">
        <color rgb="FF00425C"/>
      </left>
      <right style="medium">
        <color rgb="FF00425C"/>
      </right>
      <top style="thin">
        <color rgb="FF004C5A"/>
      </top>
      <bottom style="thin">
        <color theme="0"/>
      </bottom>
      <diagonal/>
    </border>
    <border>
      <left style="medium">
        <color rgb="FF00425C"/>
      </left>
      <right style="thin">
        <color rgb="FF00425C"/>
      </right>
      <top/>
      <bottom/>
      <diagonal/>
    </border>
    <border>
      <left style="thin">
        <color rgb="FF00425C"/>
      </left>
      <right style="thin">
        <color rgb="FF00425C"/>
      </right>
      <top style="thin">
        <color theme="0"/>
      </top>
      <bottom style="thin">
        <color theme="0"/>
      </bottom>
      <diagonal/>
    </border>
    <border>
      <left style="thin">
        <color rgb="FF00425C"/>
      </left>
      <right style="medium">
        <color rgb="FF00425C"/>
      </right>
      <top style="thin">
        <color theme="0"/>
      </top>
      <bottom style="thin">
        <color theme="0"/>
      </bottom>
      <diagonal/>
    </border>
    <border>
      <left style="medium">
        <color rgb="FF00425C"/>
      </left>
      <right style="thin">
        <color rgb="FF00425C"/>
      </right>
      <top/>
      <bottom style="thin">
        <color rgb="FF004C5A"/>
      </bottom>
      <diagonal/>
    </border>
    <border>
      <left style="thin">
        <color rgb="FF00425C"/>
      </left>
      <right style="thin">
        <color rgb="FF00425C"/>
      </right>
      <top/>
      <bottom style="thin">
        <color rgb="FF004C5A"/>
      </bottom>
      <diagonal/>
    </border>
    <border>
      <left style="thin">
        <color rgb="FF00425C"/>
      </left>
      <right style="thin">
        <color rgb="FF00425C"/>
      </right>
      <top style="thin">
        <color theme="0"/>
      </top>
      <bottom style="thin">
        <color rgb="FF004C5A"/>
      </bottom>
      <diagonal/>
    </border>
    <border>
      <left style="thin">
        <color rgb="FF00425C"/>
      </left>
      <right style="medium">
        <color rgb="FF00425C"/>
      </right>
      <top style="thin">
        <color theme="0"/>
      </top>
      <bottom style="thin">
        <color rgb="FF004C5A"/>
      </bottom>
      <diagonal/>
    </border>
    <border>
      <left/>
      <right/>
      <top/>
      <bottom style="medium">
        <color rgb="FF004C5A"/>
      </bottom>
      <diagonal/>
    </border>
    <border>
      <left style="medium">
        <color rgb="FF00425C"/>
      </left>
      <right style="thin">
        <color rgb="FF004C5A"/>
      </right>
      <top style="medium">
        <color rgb="FF00425C"/>
      </top>
      <bottom/>
      <diagonal/>
    </border>
    <border>
      <left style="thin">
        <color rgb="FF004C5A"/>
      </left>
      <right style="thin">
        <color rgb="FF004C5A"/>
      </right>
      <top style="medium">
        <color rgb="FF00425C"/>
      </top>
      <bottom/>
      <diagonal/>
    </border>
    <border>
      <left style="thin">
        <color rgb="FF004C5A"/>
      </left>
      <right style="medium">
        <color rgb="FF00425C"/>
      </right>
      <top style="medium">
        <color rgb="FF00425C"/>
      </top>
      <bottom/>
      <diagonal/>
    </border>
    <border>
      <left style="thin">
        <color rgb="FF004C5A"/>
      </left>
      <right style="medium">
        <color rgb="FF00425C"/>
      </right>
      <top/>
      <bottom/>
      <diagonal/>
    </border>
    <border>
      <left style="medium">
        <color rgb="FF00425C"/>
      </left>
      <right style="thin">
        <color rgb="FF004C5A"/>
      </right>
      <top/>
      <bottom style="medium">
        <color rgb="FF00425C"/>
      </bottom>
      <diagonal/>
    </border>
    <border>
      <left style="thin">
        <color rgb="FF004C5A"/>
      </left>
      <right style="thin">
        <color rgb="FF004C5A"/>
      </right>
      <top/>
      <bottom style="medium">
        <color rgb="FF00425C"/>
      </bottom>
      <diagonal/>
    </border>
    <border>
      <left style="thin">
        <color rgb="FF004C5A"/>
      </left>
      <right style="medium">
        <color rgb="FF00425C"/>
      </right>
      <top/>
      <bottom style="medium">
        <color rgb="FF00425C"/>
      </bottom>
      <diagonal/>
    </border>
    <border>
      <left style="thin">
        <color theme="0"/>
      </left>
      <right/>
      <top style="medium">
        <color rgb="FF00425C"/>
      </top>
      <bottom/>
      <diagonal/>
    </border>
    <border>
      <left/>
      <right style="medium">
        <color rgb="FF00425C"/>
      </right>
      <top style="medium">
        <color rgb="FF00425C"/>
      </top>
      <bottom/>
      <diagonal/>
    </border>
    <border>
      <left style="medium">
        <color rgb="FF00425C"/>
      </left>
      <right style="thin">
        <color rgb="FF00425C"/>
      </right>
      <top/>
      <bottom style="medium">
        <color rgb="FF00425C"/>
      </bottom>
      <diagonal/>
    </border>
    <border>
      <left style="thin">
        <color rgb="FF00425C"/>
      </left>
      <right style="thin">
        <color rgb="FF00425C"/>
      </right>
      <top/>
      <bottom style="medium">
        <color rgb="FF00425C"/>
      </bottom>
      <diagonal/>
    </border>
    <border>
      <left style="thin">
        <color rgb="FF00425C"/>
      </left>
      <right style="medium">
        <color rgb="FF00425C"/>
      </right>
      <top/>
      <bottom style="medium">
        <color rgb="FF00425C"/>
      </bottom>
      <diagonal/>
    </border>
    <border>
      <left/>
      <right style="thin">
        <color rgb="FF00425C"/>
      </right>
      <top/>
      <bottom/>
      <diagonal/>
    </border>
    <border>
      <left style="thin">
        <color theme="0"/>
      </left>
      <right style="thin">
        <color theme="0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rgb="FF00425C"/>
      </left>
      <right style="thin">
        <color rgb="FF00425C"/>
      </right>
      <top style="medium">
        <color rgb="FF00425C"/>
      </top>
      <bottom/>
      <diagonal/>
    </border>
    <border>
      <left style="medium">
        <color rgb="FF004C5A"/>
      </left>
      <right style="thin">
        <color rgb="FF00425C"/>
      </right>
      <top style="medium">
        <color rgb="FF00425C"/>
      </top>
      <bottom/>
      <diagonal/>
    </border>
    <border>
      <left style="thin">
        <color rgb="FF00425C"/>
      </left>
      <right style="medium">
        <color rgb="FF004C5A"/>
      </right>
      <top style="medium">
        <color rgb="FF00425C"/>
      </top>
      <bottom/>
      <diagonal/>
    </border>
    <border>
      <left style="medium">
        <color rgb="FF004C5A"/>
      </left>
      <right style="thin">
        <color rgb="FF00425C"/>
      </right>
      <top/>
      <bottom/>
      <diagonal/>
    </border>
    <border>
      <left style="thin">
        <color rgb="FF00425C"/>
      </left>
      <right style="medium">
        <color rgb="FF004C5A"/>
      </right>
      <top/>
      <bottom/>
      <diagonal/>
    </border>
    <border>
      <left style="medium">
        <color rgb="FF004C5A"/>
      </left>
      <right style="thin">
        <color rgb="FF00425C"/>
      </right>
      <top/>
      <bottom style="medium">
        <color rgb="FF00425C"/>
      </bottom>
      <diagonal/>
    </border>
    <border>
      <left style="thin">
        <color rgb="FF00425C"/>
      </left>
      <right style="medium">
        <color rgb="FF004C5A"/>
      </right>
      <top/>
      <bottom style="medium">
        <color rgb="FF00425C"/>
      </bottom>
      <diagonal/>
    </border>
    <border>
      <left style="medium">
        <color rgb="FF00425C"/>
      </left>
      <right style="thin">
        <color theme="0"/>
      </right>
      <top/>
      <bottom/>
      <diagonal/>
    </border>
    <border>
      <left style="thin">
        <color theme="0"/>
      </left>
      <right style="medium">
        <color rgb="FF00425C"/>
      </right>
      <top style="thin">
        <color theme="0"/>
      </top>
      <bottom/>
      <diagonal/>
    </border>
    <border>
      <left style="medium">
        <color rgb="FF00425C"/>
      </left>
      <right style="thin">
        <color rgb="FF00425C"/>
      </right>
      <top/>
      <bottom style="thin">
        <color rgb="FF00425C"/>
      </bottom>
      <diagonal/>
    </border>
    <border>
      <left style="medium">
        <color rgb="FF00425C"/>
      </left>
      <right style="thin">
        <color theme="0"/>
      </right>
      <top style="thin">
        <color rgb="FF00425C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425C"/>
      </top>
      <bottom style="thin">
        <color theme="0"/>
      </bottom>
      <diagonal/>
    </border>
    <border>
      <left style="thin">
        <color theme="0"/>
      </left>
      <right style="medium">
        <color rgb="FF00425C"/>
      </right>
      <top style="thin">
        <color rgb="FF00425C"/>
      </top>
      <bottom style="thin">
        <color theme="0"/>
      </bottom>
      <diagonal/>
    </border>
    <border>
      <left style="medium">
        <color rgb="FF00425C"/>
      </left>
      <right style="thin">
        <color theme="0"/>
      </right>
      <top style="thin">
        <color theme="0"/>
      </top>
      <bottom style="medium">
        <color rgb="FF00425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25C"/>
      </bottom>
      <diagonal/>
    </border>
    <border>
      <left style="thin">
        <color theme="0"/>
      </left>
      <right style="medium">
        <color rgb="FF00425C"/>
      </right>
      <top style="thin">
        <color theme="0"/>
      </top>
      <bottom style="medium">
        <color rgb="FF00425C"/>
      </bottom>
      <diagonal/>
    </border>
    <border>
      <left style="thin">
        <color theme="0"/>
      </left>
      <right/>
      <top style="medium">
        <color rgb="FF00425C"/>
      </top>
      <bottom style="thin">
        <color theme="0"/>
      </bottom>
      <diagonal/>
    </border>
    <border>
      <left/>
      <right style="thin">
        <color theme="0"/>
      </right>
      <top style="medium">
        <color rgb="FF00425C"/>
      </top>
      <bottom style="thin">
        <color theme="0"/>
      </bottom>
      <diagonal/>
    </border>
    <border>
      <left/>
      <right/>
      <top style="medium">
        <color rgb="FF00425C"/>
      </top>
      <bottom style="thin">
        <color theme="0"/>
      </bottom>
      <diagonal/>
    </border>
    <border>
      <left style="thin">
        <color theme="0"/>
      </left>
      <right style="medium">
        <color rgb="FF00425C"/>
      </right>
      <top/>
      <bottom style="thin">
        <color theme="0"/>
      </bottom>
      <diagonal/>
    </border>
    <border>
      <left style="thin">
        <color theme="0"/>
      </left>
      <right style="medium">
        <color rgb="FF00425C"/>
      </right>
      <top/>
      <bottom/>
      <diagonal/>
    </border>
    <border>
      <left/>
      <right/>
      <top style="thin">
        <color rgb="FF00425C"/>
      </top>
      <bottom style="thin">
        <color rgb="FF00425C"/>
      </bottom>
      <diagonal/>
    </border>
    <border>
      <left/>
      <right/>
      <top style="thin">
        <color rgb="FF00425C"/>
      </top>
      <bottom style="medium">
        <color rgb="FF00425C"/>
      </bottom>
      <diagonal/>
    </border>
    <border>
      <left/>
      <right style="medium">
        <color rgb="FF00425C"/>
      </right>
      <top style="thin">
        <color rgb="FF00425C"/>
      </top>
      <bottom style="thin">
        <color rgb="FF00425C"/>
      </bottom>
      <diagonal/>
    </border>
    <border>
      <left/>
      <right style="medium">
        <color rgb="FF00425C"/>
      </right>
      <top style="thin">
        <color rgb="FF00425C"/>
      </top>
      <bottom style="medium">
        <color rgb="FF00425C"/>
      </bottom>
      <diagonal/>
    </border>
    <border>
      <left style="thin">
        <color theme="0"/>
      </left>
      <right/>
      <top style="thin">
        <color theme="0"/>
      </top>
      <bottom style="medium">
        <color rgb="FF00425C"/>
      </bottom>
      <diagonal/>
    </border>
    <border>
      <left/>
      <right style="thin">
        <color theme="0"/>
      </right>
      <top style="thin">
        <color theme="0"/>
      </top>
      <bottom style="medium">
        <color rgb="FF00425C"/>
      </bottom>
      <diagonal/>
    </border>
    <border>
      <left style="medium">
        <color rgb="FF00425C"/>
      </left>
      <right/>
      <top style="medium">
        <color rgb="FF00425C"/>
      </top>
      <bottom style="thin">
        <color theme="0"/>
      </bottom>
      <diagonal/>
    </border>
    <border>
      <left style="medium">
        <color rgb="FF00425C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medium">
        <color rgb="FF00425C"/>
      </bottom>
      <diagonal/>
    </border>
    <border>
      <left style="medium">
        <color rgb="FF00425C"/>
      </left>
      <right style="thin">
        <color rgb="FF00425C"/>
      </right>
      <top style="thin">
        <color theme="4" tint="-0.499984740745262"/>
      </top>
      <bottom/>
      <diagonal/>
    </border>
    <border>
      <left style="medium">
        <color rgb="FF00425C"/>
      </left>
      <right style="thin">
        <color theme="0"/>
      </right>
      <top/>
      <bottom style="medium">
        <color rgb="FF00425C"/>
      </bottom>
      <diagonal/>
    </border>
    <border>
      <left style="thin">
        <color theme="0"/>
      </left>
      <right style="medium">
        <color rgb="FF00425C"/>
      </right>
      <top/>
      <bottom style="medium">
        <color rgb="FF00425C"/>
      </bottom>
      <diagonal/>
    </border>
    <border>
      <left style="medium">
        <color rgb="FF00425C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-0.499984740745262"/>
      </left>
      <right style="medium">
        <color rgb="FF00425C"/>
      </right>
      <top/>
      <bottom/>
      <diagonal/>
    </border>
    <border>
      <left style="thin">
        <color theme="0"/>
      </left>
      <right style="medium">
        <color rgb="FF00425C"/>
      </right>
      <top style="thin">
        <color rgb="FF00425C"/>
      </top>
      <bottom style="medium">
        <color rgb="FF00425C"/>
      </bottom>
      <diagonal/>
    </border>
    <border>
      <left style="thin">
        <color theme="0"/>
      </left>
      <right style="medium">
        <color rgb="FF00425C"/>
      </right>
      <top style="thin">
        <color rgb="FF00425C"/>
      </top>
      <bottom style="thin">
        <color rgb="FF00425C"/>
      </bottom>
      <diagonal/>
    </border>
    <border>
      <left style="medium">
        <color rgb="FF00425C"/>
      </left>
      <right style="thin">
        <color rgb="FF00425C"/>
      </right>
      <top style="thin">
        <color theme="0"/>
      </top>
      <bottom/>
      <diagonal/>
    </border>
    <border>
      <left style="thin">
        <color rgb="FF00425C"/>
      </left>
      <right style="thin">
        <color rgb="FF00425C"/>
      </right>
      <top style="thin">
        <color theme="0"/>
      </top>
      <bottom/>
      <diagonal/>
    </border>
    <border>
      <left style="thin">
        <color rgb="FF00425C"/>
      </left>
      <right style="medium">
        <color rgb="FF00425C"/>
      </right>
      <top style="thin">
        <color theme="0"/>
      </top>
      <bottom/>
      <diagonal/>
    </border>
    <border>
      <left/>
      <right style="medium">
        <color rgb="FF00425C"/>
      </right>
      <top style="medium">
        <color rgb="FF00425C"/>
      </top>
      <bottom style="thin">
        <color theme="0"/>
      </bottom>
      <diagonal/>
    </border>
    <border>
      <left style="thin">
        <color theme="0"/>
      </left>
      <right style="medium">
        <color rgb="FF00425C"/>
      </right>
      <top style="thin">
        <color theme="0"/>
      </top>
      <bottom style="thin">
        <color theme="0"/>
      </bottom>
      <diagonal/>
    </border>
    <border>
      <left style="medium">
        <color rgb="FF00425C"/>
      </left>
      <right style="thin">
        <color theme="0"/>
      </right>
      <top style="thin">
        <color rgb="FF00425C"/>
      </top>
      <bottom/>
      <diagonal/>
    </border>
    <border>
      <left style="thin">
        <color theme="0"/>
      </left>
      <right style="thin">
        <color theme="0"/>
      </right>
      <top/>
      <bottom style="medium">
        <color rgb="FF00425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rgb="FF004663"/>
      </bottom>
      <diagonal/>
    </border>
    <border>
      <left style="medium">
        <color rgb="FF004663"/>
      </left>
      <right style="thin">
        <color theme="0"/>
      </right>
      <top style="medium">
        <color rgb="FF00466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663"/>
      </top>
      <bottom style="thin">
        <color theme="0"/>
      </bottom>
      <diagonal/>
    </border>
    <border>
      <left style="medium">
        <color rgb="FF004663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rgb="FF004663"/>
      </left>
      <right style="thin">
        <color rgb="FF00425C"/>
      </right>
      <top style="thin">
        <color indexed="64"/>
      </top>
      <bottom/>
      <diagonal/>
    </border>
    <border>
      <left style="thin">
        <color indexed="64"/>
      </left>
      <right style="medium">
        <color rgb="FF004663"/>
      </right>
      <top style="thin">
        <color indexed="64"/>
      </top>
      <bottom/>
      <diagonal/>
    </border>
    <border>
      <left style="medium">
        <color rgb="FF004663"/>
      </left>
      <right style="thin">
        <color rgb="FF00425C"/>
      </right>
      <top/>
      <bottom/>
      <diagonal/>
    </border>
    <border>
      <left style="thin">
        <color indexed="64"/>
      </left>
      <right style="medium">
        <color rgb="FF004663"/>
      </right>
      <top/>
      <bottom/>
      <diagonal/>
    </border>
    <border>
      <left style="medium">
        <color rgb="FF004663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004663"/>
      </right>
      <top/>
      <bottom style="thin">
        <color rgb="FF004663"/>
      </bottom>
      <diagonal/>
    </border>
    <border>
      <left style="medium">
        <color rgb="FF004663"/>
      </left>
      <right style="thin">
        <color theme="0"/>
      </right>
      <top style="thin">
        <color theme="0"/>
      </top>
      <bottom style="medium">
        <color rgb="FF0046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663"/>
      </bottom>
      <diagonal/>
    </border>
    <border>
      <left style="thin">
        <color theme="0"/>
      </left>
      <right style="medium">
        <color rgb="FF004663"/>
      </right>
      <top style="thin">
        <color rgb="FF004663"/>
      </top>
      <bottom style="medium">
        <color rgb="FF004663"/>
      </bottom>
      <diagonal/>
    </border>
    <border>
      <left style="thin">
        <color theme="0"/>
      </left>
      <right style="thin">
        <color theme="0"/>
      </right>
      <top/>
      <bottom style="medium">
        <color rgb="FF004663"/>
      </bottom>
      <diagonal/>
    </border>
    <border>
      <left style="thin">
        <color theme="0"/>
      </left>
      <right style="thin">
        <color theme="0"/>
      </right>
      <top style="thin">
        <color rgb="FF004663"/>
      </top>
      <bottom style="medium">
        <color rgb="FF004663"/>
      </bottom>
      <diagonal/>
    </border>
    <border>
      <left style="thin">
        <color theme="0"/>
      </left>
      <right/>
      <top style="medium">
        <color rgb="FF004663"/>
      </top>
      <bottom style="thin">
        <color theme="0"/>
      </bottom>
      <diagonal/>
    </border>
    <border>
      <left/>
      <right/>
      <top style="medium">
        <color rgb="FF004663"/>
      </top>
      <bottom style="thin">
        <color theme="0"/>
      </bottom>
      <diagonal/>
    </border>
    <border>
      <left/>
      <right style="medium">
        <color rgb="FF004663"/>
      </right>
      <top style="medium">
        <color rgb="FF004663"/>
      </top>
      <bottom style="thin">
        <color theme="0"/>
      </bottom>
      <diagonal/>
    </border>
    <border>
      <left style="medium">
        <color rgb="FF004663"/>
      </left>
      <right style="thin">
        <color theme="0"/>
      </right>
      <top style="thin">
        <color theme="0"/>
      </top>
      <bottom/>
      <diagonal/>
    </border>
    <border>
      <left style="medium">
        <color rgb="FF004663"/>
      </left>
      <right style="thin">
        <color rgb="FF004C5A"/>
      </right>
      <top style="thin">
        <color rgb="FF204162"/>
      </top>
      <bottom/>
      <diagonal/>
    </border>
    <border>
      <left style="thin">
        <color rgb="FF004C5A"/>
      </left>
      <right style="medium">
        <color rgb="FF004663"/>
      </right>
      <top style="thin">
        <color rgb="FF204162"/>
      </top>
      <bottom/>
      <diagonal/>
    </border>
    <border>
      <left style="medium">
        <color rgb="FF004663"/>
      </left>
      <right style="thin">
        <color rgb="FF004C5A"/>
      </right>
      <top/>
      <bottom/>
      <diagonal/>
    </border>
    <border>
      <left style="thin">
        <color rgb="FF004C5A"/>
      </left>
      <right style="medium">
        <color rgb="FF004663"/>
      </right>
      <top/>
      <bottom/>
      <diagonal/>
    </border>
    <border>
      <left style="thin">
        <color theme="0"/>
      </left>
      <right style="medium">
        <color rgb="FF004663"/>
      </right>
      <top style="thin">
        <color theme="0"/>
      </top>
      <bottom style="thin">
        <color theme="0"/>
      </bottom>
      <diagonal/>
    </border>
    <border>
      <left style="medium">
        <color rgb="FF004663"/>
      </left>
      <right style="thin">
        <color theme="0"/>
      </right>
      <top/>
      <bottom/>
      <diagonal/>
    </border>
    <border>
      <left/>
      <right style="medium">
        <color rgb="FF004663"/>
      </right>
      <top style="thin">
        <color theme="0"/>
      </top>
      <bottom style="dashed">
        <color theme="0"/>
      </bottom>
      <diagonal/>
    </border>
    <border>
      <left style="medium">
        <color rgb="FF004663"/>
      </left>
      <right style="thin">
        <color theme="0"/>
      </right>
      <top/>
      <bottom style="medium">
        <color rgb="FF004663"/>
      </bottom>
      <diagonal/>
    </border>
    <border>
      <left style="thin">
        <color theme="0"/>
      </left>
      <right style="medium">
        <color rgb="FF004663"/>
      </right>
      <top/>
      <bottom style="thin">
        <color theme="0"/>
      </bottom>
      <diagonal/>
    </border>
    <border>
      <left style="thin">
        <color rgb="FF004C5A"/>
      </left>
      <right style="thin">
        <color rgb="FF004663"/>
      </right>
      <top style="thin">
        <color rgb="FF204162"/>
      </top>
      <bottom/>
      <diagonal/>
    </border>
    <border>
      <left style="thin">
        <color rgb="FF004C5A"/>
      </left>
      <right style="thin">
        <color rgb="FF004663"/>
      </right>
      <top/>
      <bottom/>
      <diagonal/>
    </border>
    <border>
      <left style="thin">
        <color rgb="FF004C5A"/>
      </left>
      <right style="thin">
        <color theme="0"/>
      </right>
      <top/>
      <bottom style="thin">
        <color theme="0"/>
      </bottom>
      <diagonal/>
    </border>
    <border>
      <left style="medium">
        <color rgb="FF004663"/>
      </left>
      <right style="thin">
        <color theme="0"/>
      </right>
      <top style="medium">
        <color rgb="FF004663"/>
      </top>
      <bottom/>
      <diagonal/>
    </border>
    <border>
      <left style="thin">
        <color theme="0"/>
      </left>
      <right style="thin">
        <color theme="0"/>
      </right>
      <top style="medium">
        <color rgb="FF004663"/>
      </top>
      <bottom/>
      <diagonal/>
    </border>
    <border>
      <left style="thin">
        <color theme="0"/>
      </left>
      <right style="medium">
        <color rgb="FF004663"/>
      </right>
      <top style="medium">
        <color rgb="FF004663"/>
      </top>
      <bottom/>
      <diagonal/>
    </border>
    <border>
      <left style="thin">
        <color rgb="FF004C5A"/>
      </left>
      <right style="medium">
        <color rgb="FF004663"/>
      </right>
      <top/>
      <bottom style="thin">
        <color theme="0"/>
      </bottom>
      <diagonal/>
    </border>
    <border>
      <left style="thin">
        <color theme="0"/>
      </left>
      <right style="medium">
        <color rgb="FF004663"/>
      </right>
      <top style="thin">
        <color theme="0"/>
      </top>
      <bottom style="medium">
        <color rgb="FF004663"/>
      </bottom>
      <diagonal/>
    </border>
    <border>
      <left style="thin">
        <color theme="0"/>
      </left>
      <right style="thin">
        <color theme="0"/>
      </right>
      <top style="thin">
        <color rgb="FF00425C"/>
      </top>
      <bottom style="thin">
        <color rgb="FF004663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medium">
        <color rgb="FF004663"/>
      </right>
      <top style="medium">
        <color rgb="FF004663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 style="thin">
        <color theme="0"/>
      </top>
      <bottom/>
      <diagonal/>
    </border>
    <border>
      <left style="medium">
        <color rgb="FF004663"/>
      </left>
      <right style="thin">
        <color rgb="FF004663"/>
      </right>
      <top style="thin">
        <color rgb="FF004663"/>
      </top>
      <bottom/>
      <diagonal/>
    </border>
    <border>
      <left style="thin">
        <color rgb="FF004663"/>
      </left>
      <right style="thin">
        <color rgb="FF004663"/>
      </right>
      <top style="thin">
        <color rgb="FF004663"/>
      </top>
      <bottom/>
      <diagonal/>
    </border>
    <border>
      <left style="thin">
        <color rgb="FF004663"/>
      </left>
      <right style="medium">
        <color rgb="FF004663"/>
      </right>
      <top style="thin">
        <color rgb="FF004663"/>
      </top>
      <bottom/>
      <diagonal/>
    </border>
    <border>
      <left style="medium">
        <color rgb="FF004663"/>
      </left>
      <right style="thin">
        <color rgb="FF004663"/>
      </right>
      <top/>
      <bottom/>
      <diagonal/>
    </border>
    <border>
      <left style="thin">
        <color rgb="FF004663"/>
      </left>
      <right style="thin">
        <color rgb="FF004663"/>
      </right>
      <top/>
      <bottom/>
      <diagonal/>
    </border>
    <border>
      <left style="thin">
        <color rgb="FF004663"/>
      </left>
      <right style="medium">
        <color rgb="FF004663"/>
      </right>
      <top/>
      <bottom/>
      <diagonal/>
    </border>
    <border>
      <left style="thin">
        <color rgb="FF004663"/>
      </left>
      <right style="thin">
        <color rgb="FF004663"/>
      </right>
      <top/>
      <bottom style="thin">
        <color rgb="FF004663"/>
      </bottom>
      <diagonal/>
    </border>
    <border>
      <left style="thin">
        <color rgb="FF004663"/>
      </left>
      <right style="thin">
        <color theme="0"/>
      </right>
      <top style="thin">
        <color rgb="FF00466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4663"/>
      </top>
      <bottom style="thin">
        <color theme="0"/>
      </bottom>
      <diagonal/>
    </border>
    <border>
      <left style="thin">
        <color rgb="FF004663"/>
      </left>
      <right style="thin">
        <color theme="0"/>
      </right>
      <top style="thin">
        <color rgb="FF004663"/>
      </top>
      <bottom style="thin">
        <color rgb="FF004663"/>
      </bottom>
      <diagonal/>
    </border>
    <border>
      <left style="thin">
        <color theme="0"/>
      </left>
      <right style="thin">
        <color theme="0"/>
      </right>
      <top style="thin">
        <color rgb="FF004663"/>
      </top>
      <bottom style="thin">
        <color rgb="FF004663"/>
      </bottom>
      <diagonal/>
    </border>
    <border>
      <left style="thin">
        <color theme="0"/>
      </left>
      <right style="thin">
        <color rgb="FF004663"/>
      </right>
      <top style="thin">
        <color rgb="FF004663"/>
      </top>
      <bottom style="thin">
        <color rgb="FF004663"/>
      </bottom>
      <diagonal/>
    </border>
    <border>
      <left style="thin">
        <color theme="0"/>
      </left>
      <right style="thin">
        <color theme="0"/>
      </right>
      <top style="thin">
        <color rgb="FF004663"/>
      </top>
      <bottom/>
      <diagonal/>
    </border>
    <border>
      <left style="thin">
        <color theme="0"/>
      </left>
      <right style="thin">
        <color rgb="FF004663"/>
      </right>
      <top style="thin">
        <color rgb="FF004663"/>
      </top>
      <bottom/>
      <diagonal/>
    </border>
    <border>
      <left style="thin">
        <color theme="0"/>
      </left>
      <right style="thin">
        <color rgb="FF004663"/>
      </right>
      <top/>
      <bottom style="thin">
        <color rgb="FF004663"/>
      </bottom>
      <diagonal/>
    </border>
    <border>
      <left/>
      <right style="thin">
        <color theme="0"/>
      </right>
      <top style="thin">
        <color rgb="FF00425C"/>
      </top>
      <bottom style="thin">
        <color rgb="FF004663"/>
      </bottom>
      <diagonal/>
    </border>
    <border>
      <left/>
      <right style="thin">
        <color theme="0"/>
      </right>
      <top style="thin">
        <color rgb="FF004663"/>
      </top>
      <bottom style="medium">
        <color rgb="FF00425C"/>
      </bottom>
      <diagonal/>
    </border>
    <border>
      <left/>
      <right style="medium">
        <color rgb="FF00425C"/>
      </right>
      <top style="thin">
        <color rgb="FF00425C"/>
      </top>
      <bottom style="thin">
        <color rgb="FF004663"/>
      </bottom>
      <diagonal/>
    </border>
    <border>
      <left/>
      <right style="medium">
        <color rgb="FF00425C"/>
      </right>
      <top style="thin">
        <color rgb="FF004663"/>
      </top>
      <bottom style="medium">
        <color rgb="FF00425C"/>
      </bottom>
      <diagonal/>
    </border>
    <border>
      <left style="thin">
        <color rgb="FF004663"/>
      </left>
      <right/>
      <top style="thin">
        <color rgb="FF004663"/>
      </top>
      <bottom/>
      <diagonal/>
    </border>
    <border>
      <left style="thin">
        <color theme="0"/>
      </left>
      <right/>
      <top style="thin">
        <color rgb="FF004663"/>
      </top>
      <bottom/>
      <diagonal/>
    </border>
    <border>
      <left style="thin">
        <color rgb="FF004663"/>
      </left>
      <right style="thin">
        <color theme="0"/>
      </right>
      <top style="thin">
        <color theme="0"/>
      </top>
      <bottom style="thin">
        <color rgb="FF0046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4663"/>
      </bottom>
      <diagonal/>
    </border>
    <border>
      <left style="medium">
        <color theme="8" tint="-0.499984740745262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rgb="FF004663"/>
      </left>
      <right style="thin">
        <color theme="0"/>
      </right>
      <top style="thin">
        <color rgb="FF004663"/>
      </top>
      <bottom style="thin">
        <color theme="0"/>
      </bottom>
      <diagonal/>
    </border>
    <border>
      <left style="medium">
        <color rgb="FF00466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4663"/>
      </bottom>
      <diagonal/>
    </border>
    <border>
      <left/>
      <right style="thin">
        <color theme="0"/>
      </right>
      <top style="thin">
        <color theme="0"/>
      </top>
      <bottom style="medium">
        <color rgb="FF004663"/>
      </bottom>
      <diagonal/>
    </border>
    <border>
      <left style="thin">
        <color theme="0"/>
      </left>
      <right style="medium">
        <color rgb="FF004663"/>
      </right>
      <top style="thin">
        <color rgb="FF004663"/>
      </top>
      <bottom style="thin">
        <color theme="0"/>
      </bottom>
      <diagonal/>
    </border>
    <border>
      <left/>
      <right/>
      <top style="thin">
        <color theme="0"/>
      </top>
      <bottom style="medium">
        <color rgb="FF004663"/>
      </bottom>
      <diagonal/>
    </border>
    <border>
      <left/>
      <right style="medium">
        <color rgb="FF004663"/>
      </right>
      <top style="thin">
        <color theme="0"/>
      </top>
      <bottom style="medium">
        <color rgb="FF004663"/>
      </bottom>
      <diagonal/>
    </border>
    <border>
      <left style="medium">
        <color rgb="FF00425C"/>
      </left>
      <right style="thin">
        <color theme="8" tint="-0.499984740745262"/>
      </right>
      <top/>
      <bottom/>
      <diagonal/>
    </border>
    <border>
      <left style="medium">
        <color rgb="FF00425C"/>
      </left>
      <right style="thin">
        <color theme="0"/>
      </right>
      <top style="thin">
        <color rgb="FF00425C"/>
      </top>
      <bottom style="medium">
        <color rgb="FF00425C"/>
      </bottom>
      <diagonal/>
    </border>
    <border>
      <left style="thin">
        <color theme="0"/>
      </left>
      <right style="thin">
        <color theme="0"/>
      </right>
      <top style="thin">
        <color rgb="FF00425C"/>
      </top>
      <bottom style="medium">
        <color rgb="FF00425C"/>
      </bottom>
      <diagonal/>
    </border>
    <border>
      <left style="thin">
        <color rgb="FF004663"/>
      </left>
      <right/>
      <top/>
      <bottom/>
      <diagonal/>
    </border>
    <border>
      <left/>
      <right style="thin">
        <color rgb="FF004663"/>
      </right>
      <top/>
      <bottom/>
      <diagonal/>
    </border>
    <border>
      <left style="thin">
        <color rgb="FF004663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/>
      <top style="thin">
        <color rgb="FF004C5A"/>
      </top>
      <bottom style="thin">
        <color rgb="FF004C5A"/>
      </bottom>
      <diagonal/>
    </border>
    <border>
      <left style="thin">
        <color rgb="FF004C5A"/>
      </left>
      <right/>
      <top style="thin">
        <color rgb="FF004C5A"/>
      </top>
      <bottom/>
      <diagonal/>
    </border>
    <border>
      <left/>
      <right style="thin">
        <color rgb="FF004663"/>
      </right>
      <top style="thin">
        <color rgb="FF004C5A"/>
      </top>
      <bottom/>
      <diagonal/>
    </border>
    <border>
      <left style="thin">
        <color rgb="FF004663"/>
      </left>
      <right style="thin">
        <color rgb="FF004C5A"/>
      </right>
      <top style="thin">
        <color rgb="FF004C5A"/>
      </top>
      <bottom/>
      <diagonal/>
    </border>
    <border>
      <left style="thin">
        <color rgb="FF004663"/>
      </left>
      <right style="thin">
        <color rgb="FF004C5A"/>
      </right>
      <top/>
      <bottom/>
      <diagonal/>
    </border>
    <border>
      <left style="thin">
        <color rgb="FF004663"/>
      </left>
      <right style="thin">
        <color rgb="FF004C5A"/>
      </right>
      <top/>
      <bottom style="thin">
        <color rgb="FF004C5A"/>
      </bottom>
      <diagonal/>
    </border>
    <border>
      <left style="thin">
        <color rgb="FF004663"/>
      </left>
      <right/>
      <top style="thin">
        <color rgb="FF004C5A"/>
      </top>
      <bottom style="thin">
        <color rgb="FF004C5A"/>
      </bottom>
      <diagonal/>
    </border>
    <border>
      <left/>
      <right/>
      <top style="thin">
        <color rgb="FF004C5A"/>
      </top>
      <bottom style="thin">
        <color rgb="FF004C5A"/>
      </bottom>
      <diagonal/>
    </border>
    <border>
      <left style="thin">
        <color rgb="FF004C5A"/>
      </left>
      <right/>
      <top/>
      <bottom style="thin">
        <color rgb="FF004C5A"/>
      </bottom>
      <diagonal/>
    </border>
    <border>
      <left/>
      <right style="thin">
        <color rgb="FF004663"/>
      </right>
      <top/>
      <bottom style="thin">
        <color rgb="FF004C5A"/>
      </bottom>
      <diagonal/>
    </border>
    <border>
      <left/>
      <right/>
      <top style="thin">
        <color rgb="FF004663"/>
      </top>
      <bottom/>
      <diagonal/>
    </border>
    <border>
      <left/>
      <right style="thin">
        <color rgb="FF004663"/>
      </right>
      <top style="thin">
        <color rgb="FF004663"/>
      </top>
      <bottom/>
      <diagonal/>
    </border>
    <border>
      <left style="thin">
        <color rgb="FF004663"/>
      </left>
      <right/>
      <top/>
      <bottom style="thin">
        <color rgb="FF004663"/>
      </bottom>
      <diagonal/>
    </border>
    <border>
      <left/>
      <right/>
      <top/>
      <bottom style="thin">
        <color rgb="FF004663"/>
      </bottom>
      <diagonal/>
    </border>
    <border>
      <left/>
      <right style="thin">
        <color rgb="FF004663"/>
      </right>
      <top/>
      <bottom style="thin">
        <color rgb="FF004663"/>
      </bottom>
      <diagonal/>
    </border>
    <border>
      <left style="thin">
        <color rgb="FF004663"/>
      </left>
      <right style="thin">
        <color theme="0"/>
      </right>
      <top style="thin">
        <color rgb="FF004663"/>
      </top>
      <bottom style="thin">
        <color theme="8" tint="-0.499984740745262"/>
      </bottom>
      <diagonal/>
    </border>
    <border>
      <left style="thin">
        <color theme="0"/>
      </left>
      <right style="thin">
        <color theme="0"/>
      </right>
      <top style="thin">
        <color rgb="FF004663"/>
      </top>
      <bottom style="thin">
        <color theme="8" tint="-0.499984740745262"/>
      </bottom>
      <diagonal/>
    </border>
    <border>
      <left style="thin">
        <color rgb="FF004663"/>
      </left>
      <right style="thin">
        <color rgb="FF004663"/>
      </right>
      <top style="thin">
        <color theme="8" tint="-0.499984740745262"/>
      </top>
      <bottom/>
      <diagonal/>
    </border>
    <border>
      <left style="thin">
        <color rgb="FF004663"/>
      </left>
      <right style="thin">
        <color rgb="FF004C5A"/>
      </right>
      <top style="thin">
        <color rgb="FF004663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663"/>
      </top>
      <bottom style="thin">
        <color rgb="FF004C5A"/>
      </bottom>
      <diagonal/>
    </border>
    <border>
      <left style="thin">
        <color rgb="FF004663"/>
      </left>
      <right style="thin">
        <color rgb="FF004C5A"/>
      </right>
      <top style="thin">
        <color rgb="FF204162"/>
      </top>
      <bottom/>
      <diagonal/>
    </border>
    <border>
      <left style="thin">
        <color rgb="FF004663"/>
      </left>
      <right style="thin">
        <color rgb="FF004C5A"/>
      </right>
      <top/>
      <bottom style="thin">
        <color rgb="FF004663"/>
      </bottom>
      <diagonal/>
    </border>
    <border>
      <left style="thin">
        <color rgb="FF004C5A"/>
      </left>
      <right style="thin">
        <color rgb="FF004C5A"/>
      </right>
      <top/>
      <bottom style="thin">
        <color rgb="FF004663"/>
      </bottom>
      <diagonal/>
    </border>
    <border>
      <left style="thin">
        <color rgb="FF204162"/>
      </left>
      <right style="thin">
        <color theme="0"/>
      </right>
      <top style="thin">
        <color rgb="FF2041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204162"/>
      </top>
      <bottom/>
      <diagonal/>
    </border>
    <border>
      <left style="thin">
        <color theme="0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theme="0"/>
      </right>
      <top style="thin">
        <color theme="0"/>
      </top>
      <bottom style="medium">
        <color rgb="FF204162"/>
      </bottom>
      <diagonal/>
    </border>
    <border>
      <left style="thin">
        <color theme="0"/>
      </left>
      <right style="thin">
        <color theme="0"/>
      </right>
      <top/>
      <bottom style="medium">
        <color rgb="FF204162"/>
      </bottom>
      <diagonal/>
    </border>
    <border>
      <left style="thin">
        <color theme="0"/>
      </left>
      <right style="thin">
        <color rgb="FF204162"/>
      </right>
      <top/>
      <bottom style="medium">
        <color rgb="FF204162"/>
      </bottom>
      <diagonal/>
    </border>
    <border>
      <left style="thin">
        <color rgb="FF204162"/>
      </left>
      <right/>
      <top/>
      <bottom/>
      <diagonal/>
    </border>
    <border>
      <left/>
      <right style="thin">
        <color rgb="FF204162"/>
      </right>
      <top/>
      <bottom/>
      <diagonal/>
    </border>
    <border>
      <left style="thin">
        <color rgb="FF204162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/>
      <right/>
      <top style="thin">
        <color rgb="FF004C5A"/>
      </top>
      <bottom/>
      <diagonal/>
    </border>
    <border>
      <left/>
      <right style="thin">
        <color rgb="FF204162"/>
      </right>
      <top style="thin">
        <color rgb="FF004C5A"/>
      </top>
      <bottom/>
      <diagonal/>
    </border>
    <border>
      <left style="thin">
        <color rgb="FF204162"/>
      </left>
      <right style="thin">
        <color rgb="FF204162"/>
      </right>
      <top style="thin">
        <color rgb="FF004C5A"/>
      </top>
      <bottom/>
      <diagonal/>
    </border>
    <border>
      <left style="thin">
        <color rgb="FF204162"/>
      </left>
      <right style="thin">
        <color rgb="FF004C5A"/>
      </right>
      <top style="thin">
        <color rgb="FF004C5A"/>
      </top>
      <bottom/>
      <diagonal/>
    </border>
    <border>
      <left style="thin">
        <color rgb="FF204162"/>
      </left>
      <right style="thin">
        <color rgb="FF204162"/>
      </right>
      <top style="thin">
        <color rgb="FF004C5A"/>
      </top>
      <bottom style="thin">
        <color rgb="FF004C5A"/>
      </bottom>
      <diagonal/>
    </border>
    <border>
      <left style="thin">
        <color rgb="FF204162"/>
      </left>
      <right style="thin">
        <color rgb="FF204162"/>
      </right>
      <top/>
      <bottom style="thin">
        <color rgb="FF004C5A"/>
      </bottom>
      <diagonal/>
    </border>
    <border>
      <left style="thin">
        <color rgb="FF204162"/>
      </left>
      <right style="thin">
        <color rgb="FF004C5A"/>
      </right>
      <top/>
      <bottom style="thin">
        <color rgb="FF004C5A"/>
      </bottom>
      <diagonal/>
    </border>
    <border>
      <left style="thin">
        <color rgb="FF204162"/>
      </left>
      <right/>
      <top style="thin">
        <color rgb="FF004C5A"/>
      </top>
      <bottom/>
      <diagonal/>
    </border>
    <border>
      <left style="thin">
        <color rgb="FF204162"/>
      </left>
      <right/>
      <top/>
      <bottom style="thin">
        <color rgb="FF004C5A"/>
      </bottom>
      <diagonal/>
    </border>
    <border>
      <left/>
      <right/>
      <top/>
      <bottom style="thin">
        <color rgb="FF004C5A"/>
      </bottom>
      <diagonal/>
    </border>
    <border>
      <left/>
      <right style="thin">
        <color rgb="FF204162"/>
      </right>
      <top/>
      <bottom style="thin">
        <color rgb="FF004C5A"/>
      </bottom>
      <diagonal/>
    </border>
    <border>
      <left/>
      <right style="thin">
        <color rgb="FF004C5A"/>
      </right>
      <top/>
      <bottom style="thin">
        <color rgb="FF004C5A"/>
      </bottom>
      <diagonal/>
    </border>
    <border>
      <left style="thin">
        <color rgb="FF20416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204162"/>
      </right>
      <top style="thin">
        <color indexed="64"/>
      </top>
      <bottom/>
      <diagonal/>
    </border>
    <border>
      <left style="thin">
        <color rgb="FF20416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204162"/>
      </right>
      <top/>
      <bottom style="thin">
        <color indexed="64"/>
      </bottom>
      <diagonal/>
    </border>
    <border>
      <left style="thin">
        <color rgb="FF204162"/>
      </left>
      <right style="thin">
        <color theme="0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0"/>
      </left>
      <right/>
      <top style="thin">
        <color theme="8" tint="-0.499984740745262"/>
      </top>
      <bottom/>
      <diagonal/>
    </border>
    <border>
      <left/>
      <right style="thin">
        <color rgb="FF204162"/>
      </right>
      <top style="thin">
        <color theme="8" tint="-0.499984740745262"/>
      </top>
      <bottom/>
      <diagonal/>
    </border>
    <border>
      <left style="thin">
        <color rgb="FF204162"/>
      </left>
      <right style="thin">
        <color rgb="FF004663"/>
      </right>
      <top style="thin">
        <color theme="8" tint="-0.499984740745262"/>
      </top>
      <bottom/>
      <diagonal/>
    </border>
    <border>
      <left style="thin">
        <color rgb="FF004663"/>
      </left>
      <right style="thin">
        <color rgb="FF204162"/>
      </right>
      <top/>
      <bottom/>
      <diagonal/>
    </border>
    <border>
      <left style="thin">
        <color rgb="FF204162"/>
      </left>
      <right style="thin">
        <color rgb="FF004663"/>
      </right>
      <top/>
      <bottom style="thin">
        <color rgb="FF204162"/>
      </bottom>
      <diagonal/>
    </border>
    <border>
      <left style="thin">
        <color rgb="FF004663"/>
      </left>
      <right style="thin">
        <color rgb="FF004663"/>
      </right>
      <top/>
      <bottom style="thin">
        <color rgb="FF204162"/>
      </bottom>
      <diagonal/>
    </border>
    <border>
      <left style="thin">
        <color rgb="FF004663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/>
      <top/>
      <bottom style="thin">
        <color rgb="FF204162"/>
      </bottom>
      <diagonal/>
    </border>
    <border>
      <left style="thin">
        <color auto="1"/>
      </left>
      <right/>
      <top/>
      <bottom style="thin">
        <color rgb="FF204162"/>
      </bottom>
      <diagonal/>
    </border>
    <border>
      <left/>
      <right style="thin">
        <color rgb="FF204162"/>
      </right>
      <top/>
      <bottom style="thin">
        <color rgb="FF204162"/>
      </bottom>
      <diagonal/>
    </border>
    <border>
      <left/>
      <right/>
      <top/>
      <bottom style="thin">
        <color rgb="FF204162"/>
      </bottom>
      <diagonal/>
    </border>
    <border>
      <left style="thin">
        <color rgb="FF004C5A"/>
      </left>
      <right style="thin">
        <color rgb="FF204162"/>
      </right>
      <top style="thin">
        <color rgb="FF004C5A"/>
      </top>
      <bottom/>
      <diagonal/>
    </border>
    <border>
      <left style="thin">
        <color rgb="FF204162"/>
      </left>
      <right style="thin">
        <color rgb="FF004C5A"/>
      </right>
      <top style="thin">
        <color rgb="FF004C5A"/>
      </top>
      <bottom style="thin">
        <color indexed="64"/>
      </bottom>
      <diagonal/>
    </border>
    <border>
      <left style="thin">
        <color rgb="FF2041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204162"/>
      </left>
      <right style="thin">
        <color indexed="64"/>
      </right>
      <top/>
      <bottom/>
      <diagonal/>
    </border>
    <border>
      <left style="thin">
        <color rgb="FF204162"/>
      </left>
      <right style="thin">
        <color indexed="64"/>
      </right>
      <top/>
      <bottom style="thin">
        <color rgb="FF004C5A"/>
      </bottom>
      <diagonal/>
    </border>
    <border>
      <left style="thin">
        <color indexed="64"/>
      </left>
      <right/>
      <top/>
      <bottom style="thin">
        <color rgb="FF004C5A"/>
      </bottom>
      <diagonal/>
    </border>
    <border>
      <left style="thin">
        <color indexed="64"/>
      </left>
      <right style="thin">
        <color indexed="64"/>
      </right>
      <top/>
      <bottom style="thin">
        <color rgb="FF004C5A"/>
      </bottom>
      <diagonal/>
    </border>
    <border>
      <left style="thin">
        <color rgb="FF204162"/>
      </left>
      <right style="thin">
        <color rgb="FF004C5A"/>
      </right>
      <top style="thin">
        <color indexed="64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indexed="64"/>
      </top>
      <bottom style="thin">
        <color rgb="FF004C5A"/>
      </bottom>
      <diagonal/>
    </border>
    <border>
      <left style="thin">
        <color rgb="FF204162"/>
      </left>
      <right style="thin">
        <color indexed="64"/>
      </right>
      <top/>
      <bottom style="thin">
        <color rgb="FF204162"/>
      </bottom>
      <diagonal/>
    </border>
    <border>
      <left style="thin">
        <color rgb="FF204162"/>
      </left>
      <right/>
      <top style="thin">
        <color rgb="FF204162"/>
      </top>
      <bottom/>
      <diagonal/>
    </border>
    <border>
      <left/>
      <right/>
      <top style="thin">
        <color rgb="FF204162"/>
      </top>
      <bottom/>
      <diagonal/>
    </border>
    <border>
      <left/>
      <right style="thin">
        <color rgb="FF204162"/>
      </right>
      <top style="thin">
        <color rgb="FF204162"/>
      </top>
      <bottom/>
      <diagonal/>
    </border>
    <border>
      <left style="thin">
        <color rgb="FF004C5A"/>
      </left>
      <right style="thin">
        <color indexed="64"/>
      </right>
      <top style="thin">
        <color indexed="64"/>
      </top>
      <bottom style="thin">
        <color rgb="FF004C5A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/>
      <right style="thin">
        <color theme="0"/>
      </right>
      <top style="medium">
        <color rgb="FF004663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ashed">
        <color theme="0"/>
      </bottom>
      <diagonal/>
    </border>
    <border>
      <left style="medium">
        <color rgb="FF004C5A"/>
      </left>
      <right/>
      <top style="medium">
        <color rgb="FF004C5A"/>
      </top>
      <bottom style="medium">
        <color rgb="FF004C5A"/>
      </bottom>
      <diagonal/>
    </border>
    <border>
      <left/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rgb="FF004663"/>
      </top>
      <bottom style="medium">
        <color rgb="FF00425C"/>
      </bottom>
      <diagonal/>
    </border>
    <border>
      <left style="thin">
        <color theme="0"/>
      </left>
      <right style="medium">
        <color rgb="FF00425C"/>
      </right>
      <top style="thin">
        <color rgb="FF00425C"/>
      </top>
      <bottom style="thin">
        <color rgb="FF004663"/>
      </bottom>
      <diagonal/>
    </border>
    <border>
      <left style="thin">
        <color theme="0"/>
      </left>
      <right style="medium">
        <color rgb="FF00425C"/>
      </right>
      <top style="thin">
        <color rgb="FF004663"/>
      </top>
      <bottom style="thin">
        <color rgb="FF004663"/>
      </bottom>
      <diagonal/>
    </border>
    <border>
      <left style="thin">
        <color theme="0"/>
      </left>
      <right style="medium">
        <color rgb="FF00425C"/>
      </right>
      <top style="thin">
        <color rgb="FF004663"/>
      </top>
      <bottom style="medium">
        <color rgb="FF00425C"/>
      </bottom>
      <diagonal/>
    </border>
    <border>
      <left style="medium">
        <color rgb="FF00425C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8" tint="-0.499984740745262"/>
      </bottom>
      <diagonal/>
    </border>
    <border>
      <left style="thin">
        <color theme="0"/>
      </left>
      <right style="thin">
        <color theme="0"/>
      </right>
      <top style="medium">
        <color rgb="FF204162"/>
      </top>
      <bottom/>
      <diagonal/>
    </border>
    <border>
      <left style="medium">
        <color rgb="FF204162"/>
      </left>
      <right style="thin">
        <color rgb="FF004663"/>
      </right>
      <top style="medium">
        <color rgb="FF204162"/>
      </top>
      <bottom style="thin">
        <color theme="0"/>
      </bottom>
      <diagonal/>
    </border>
    <border>
      <left style="thin">
        <color rgb="FF004663"/>
      </left>
      <right style="thin">
        <color rgb="FF004663"/>
      </right>
      <top style="medium">
        <color rgb="FF204162"/>
      </top>
      <bottom style="thin">
        <color theme="0"/>
      </bottom>
      <diagonal/>
    </border>
    <border>
      <left style="thin">
        <color rgb="FF004663"/>
      </left>
      <right style="medium">
        <color rgb="FF204162"/>
      </right>
      <top style="medium">
        <color rgb="FF204162"/>
      </top>
      <bottom style="thin">
        <color theme="0"/>
      </bottom>
      <diagonal/>
    </border>
    <border>
      <left style="medium">
        <color rgb="FF204162"/>
      </left>
      <right style="thin">
        <color rgb="FF004663"/>
      </right>
      <top style="thin">
        <color theme="0"/>
      </top>
      <bottom style="thin">
        <color theme="0"/>
      </bottom>
      <diagonal/>
    </border>
    <border>
      <left style="thin">
        <color rgb="FF004663"/>
      </left>
      <right style="thin">
        <color rgb="FF004663"/>
      </right>
      <top style="thin">
        <color theme="0"/>
      </top>
      <bottom style="thin">
        <color theme="0"/>
      </bottom>
      <diagonal/>
    </border>
    <border>
      <left style="thin">
        <color rgb="FF004663"/>
      </left>
      <right style="medium">
        <color rgb="FF204162"/>
      </right>
      <top style="thin">
        <color theme="0"/>
      </top>
      <bottom style="thin">
        <color theme="0"/>
      </bottom>
      <diagonal/>
    </border>
    <border>
      <left style="medium">
        <color rgb="FF204162"/>
      </left>
      <right style="thin">
        <color rgb="FF004663"/>
      </right>
      <top style="thin">
        <color theme="0"/>
      </top>
      <bottom/>
      <diagonal/>
    </border>
    <border>
      <left style="medium">
        <color rgb="FF204162"/>
      </left>
      <right style="thin">
        <color rgb="FF004663"/>
      </right>
      <top/>
      <bottom/>
      <diagonal/>
    </border>
    <border>
      <left style="thin">
        <color rgb="FF004663"/>
      </left>
      <right style="medium">
        <color rgb="FF204162"/>
      </right>
      <top/>
      <bottom/>
      <diagonal/>
    </border>
    <border>
      <left style="medium">
        <color rgb="FF204162"/>
      </left>
      <right style="thin">
        <color rgb="FF004663"/>
      </right>
      <top/>
      <bottom style="thin">
        <color theme="0"/>
      </bottom>
      <diagonal/>
    </border>
    <border>
      <left style="thin">
        <color rgb="FF004663"/>
      </left>
      <right style="thin">
        <color rgb="FF004663"/>
      </right>
      <top/>
      <bottom style="thin">
        <color theme="0"/>
      </bottom>
      <diagonal/>
    </border>
    <border>
      <left style="thin">
        <color rgb="FF004663"/>
      </left>
      <right style="medium">
        <color rgb="FF204162"/>
      </right>
      <top/>
      <bottom style="thin">
        <color theme="0"/>
      </bottom>
      <diagonal/>
    </border>
    <border>
      <left style="medium">
        <color rgb="FF204162"/>
      </left>
      <right style="thin">
        <color rgb="FF004663"/>
      </right>
      <top style="thin">
        <color theme="0"/>
      </top>
      <bottom style="medium">
        <color rgb="FF204162"/>
      </bottom>
      <diagonal/>
    </border>
    <border>
      <left style="thin">
        <color rgb="FF004663"/>
      </left>
      <right style="thin">
        <color rgb="FF004663"/>
      </right>
      <top style="thin">
        <color theme="0"/>
      </top>
      <bottom style="medium">
        <color rgb="FF204162"/>
      </bottom>
      <diagonal/>
    </border>
    <border>
      <left style="thin">
        <color rgb="FF004663"/>
      </left>
      <right style="medium">
        <color rgb="FF204162"/>
      </right>
      <top style="thin">
        <color theme="0"/>
      </top>
      <bottom style="medium">
        <color rgb="FF204162"/>
      </bottom>
      <diagonal/>
    </border>
    <border>
      <left style="thin">
        <color theme="0"/>
      </left>
      <right style="medium">
        <color rgb="FF204162"/>
      </right>
      <top style="medium">
        <color rgb="FF204162"/>
      </top>
      <bottom style="thin">
        <color rgb="FF004663"/>
      </bottom>
      <diagonal/>
    </border>
    <border>
      <left style="thin">
        <color theme="0"/>
      </left>
      <right/>
      <top style="thin">
        <color rgb="FF004663"/>
      </top>
      <bottom style="thin">
        <color rgb="FF004663"/>
      </bottom>
      <diagonal/>
    </border>
    <border>
      <left style="thin">
        <color theme="0"/>
      </left>
      <right style="medium">
        <color rgb="FF004663"/>
      </right>
      <top/>
      <bottom style="thin">
        <color indexed="64"/>
      </bottom>
      <diagonal/>
    </border>
    <border>
      <left style="medium">
        <color rgb="FF004663"/>
      </left>
      <right style="thin">
        <color theme="0"/>
      </right>
      <top style="thin">
        <color theme="0"/>
      </top>
      <bottom style="thin">
        <color rgb="FF004663"/>
      </bottom>
      <diagonal/>
    </border>
    <border>
      <left style="thin">
        <color theme="0"/>
      </left>
      <right/>
      <top style="thin">
        <color theme="0"/>
      </top>
      <bottom style="medium">
        <color rgb="FF204162"/>
      </bottom>
      <diagonal/>
    </border>
    <border>
      <left/>
      <right/>
      <top style="thin">
        <color theme="0"/>
      </top>
      <bottom style="medium">
        <color rgb="FF204162"/>
      </bottom>
      <diagonal/>
    </border>
    <border>
      <left/>
      <right style="thin">
        <color theme="0"/>
      </right>
      <top style="thin">
        <color theme="0"/>
      </top>
      <bottom style="medium">
        <color rgb="FF204162"/>
      </bottom>
      <diagonal/>
    </border>
    <border>
      <left/>
      <right/>
      <top/>
      <bottom style="medium">
        <color rgb="FF004663"/>
      </bottom>
      <diagonal/>
    </border>
    <border>
      <left style="medium">
        <color rgb="FF004663"/>
      </left>
      <right/>
      <top style="medium">
        <color rgb="FF004663"/>
      </top>
      <bottom/>
      <diagonal/>
    </border>
    <border>
      <left/>
      <right/>
      <top style="medium">
        <color rgb="FF004663"/>
      </top>
      <bottom/>
      <diagonal/>
    </border>
    <border>
      <left/>
      <right style="thin">
        <color theme="0"/>
      </right>
      <top style="medium">
        <color rgb="FF004663"/>
      </top>
      <bottom/>
      <diagonal/>
    </border>
    <border>
      <left style="thin">
        <color theme="0"/>
      </left>
      <right style="thin">
        <color theme="0"/>
      </right>
      <top style="medium">
        <color rgb="FF004663"/>
      </top>
      <bottom style="thin">
        <color rgb="FF004663"/>
      </bottom>
      <diagonal/>
    </border>
    <border>
      <left style="thin">
        <color theme="0"/>
      </left>
      <right style="medium">
        <color rgb="FF004663"/>
      </right>
      <top style="medium">
        <color rgb="FF004663"/>
      </top>
      <bottom style="thin">
        <color rgb="FF004663"/>
      </bottom>
      <diagonal/>
    </border>
    <border>
      <left style="medium">
        <color rgb="FF004663"/>
      </left>
      <right/>
      <top/>
      <bottom/>
      <diagonal/>
    </border>
    <border>
      <left style="medium">
        <color rgb="FF004663"/>
      </left>
      <right/>
      <top/>
      <bottom style="medium">
        <color rgb="FF004663"/>
      </bottom>
      <diagonal/>
    </border>
    <border>
      <left/>
      <right style="thin">
        <color rgb="FF004663"/>
      </right>
      <top/>
      <bottom style="medium">
        <color rgb="FF004663"/>
      </bottom>
      <diagonal/>
    </border>
    <border>
      <left style="thin">
        <color rgb="FF004663"/>
      </left>
      <right style="thin">
        <color rgb="FF004663"/>
      </right>
      <top/>
      <bottom style="medium">
        <color rgb="FF004663"/>
      </bottom>
      <diagonal/>
    </border>
    <border>
      <left style="thin">
        <color rgb="FF004663"/>
      </left>
      <right style="medium">
        <color rgb="FF004663"/>
      </right>
      <top/>
      <bottom style="medium">
        <color rgb="FF004663"/>
      </bottom>
      <diagonal/>
    </border>
    <border>
      <left/>
      <right/>
      <top/>
      <bottom style="medium">
        <color rgb="FF00425C"/>
      </bottom>
      <diagonal/>
    </border>
    <border>
      <left style="thin">
        <color theme="8" tint="-0.499984740745262"/>
      </left>
      <right/>
      <top/>
      <bottom/>
      <diagonal/>
    </border>
    <border>
      <left style="thin">
        <color theme="0"/>
      </left>
      <right style="medium">
        <color rgb="FF004C5A"/>
      </right>
      <top/>
      <bottom/>
      <diagonal/>
    </border>
    <border>
      <left style="medium">
        <color rgb="FF004C5A"/>
      </left>
      <right style="thin">
        <color rgb="FF004C5A"/>
      </right>
      <top style="medium">
        <color rgb="FF004C5A"/>
      </top>
      <bottom/>
      <diagonal/>
    </border>
    <border>
      <left style="thin">
        <color rgb="FF004C5A"/>
      </left>
      <right style="thin">
        <color rgb="FF004C5A"/>
      </right>
      <top style="medium">
        <color rgb="FF004C5A"/>
      </top>
      <bottom/>
      <diagonal/>
    </border>
    <border>
      <left style="thin">
        <color rgb="FF004C5A"/>
      </left>
      <right style="medium">
        <color rgb="FF004C5A"/>
      </right>
      <top style="medium">
        <color rgb="FF004C5A"/>
      </top>
      <bottom/>
      <diagonal/>
    </border>
    <border>
      <left/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theme="0"/>
      </bottom>
      <diagonal/>
    </border>
    <border>
      <left style="thin">
        <color rgb="FF004C5A"/>
      </left>
      <right style="medium">
        <color rgb="FF004C5A"/>
      </right>
      <top/>
      <bottom style="thin">
        <color theme="0"/>
      </bottom>
      <diagonal/>
    </border>
    <border>
      <left style="thin">
        <color rgb="FF004C5A"/>
      </left>
      <right style="thin">
        <color rgb="FF004C5A"/>
      </right>
      <top style="thin">
        <color theme="0"/>
      </top>
      <bottom/>
      <diagonal/>
    </border>
    <border>
      <left style="thin">
        <color rgb="FF004C5A"/>
      </left>
      <right style="medium">
        <color rgb="FF004C5A"/>
      </right>
      <top style="thin">
        <color theme="0"/>
      </top>
      <bottom/>
      <diagonal/>
    </border>
    <border>
      <left style="thin">
        <color rgb="FF004C5A"/>
      </left>
      <right style="thin">
        <color rgb="FF004C5A"/>
      </right>
      <top style="thin">
        <color theme="0"/>
      </top>
      <bottom style="thin">
        <color theme="0"/>
      </bottom>
      <diagonal/>
    </border>
    <border>
      <left style="thin">
        <color rgb="FF004C5A"/>
      </left>
      <right style="medium">
        <color rgb="FF004C5A"/>
      </right>
      <top style="thin">
        <color theme="0"/>
      </top>
      <bottom style="thin">
        <color theme="0"/>
      </bottom>
      <diagonal/>
    </border>
    <border>
      <left style="thin">
        <color rgb="FF03425C"/>
      </left>
      <right style="thin">
        <color rgb="FF004C5A"/>
      </right>
      <top/>
      <bottom style="thin">
        <color theme="0"/>
      </bottom>
      <diagonal/>
    </border>
    <border>
      <left style="thin">
        <color rgb="FF03425C"/>
      </left>
      <right style="thin">
        <color rgb="FF004C5A"/>
      </right>
      <top style="thin">
        <color theme="0"/>
      </top>
      <bottom style="thin">
        <color theme="0"/>
      </bottom>
      <diagonal/>
    </border>
    <border>
      <left style="thin">
        <color rgb="FF03425C"/>
      </left>
      <right style="thin">
        <color rgb="FF004C5A"/>
      </right>
      <top style="thin">
        <color theme="0"/>
      </top>
      <bottom/>
      <diagonal/>
    </border>
    <border>
      <left style="thin">
        <color rgb="FF004C5A"/>
      </left>
      <right style="thin">
        <color rgb="FF004663"/>
      </right>
      <top/>
      <bottom style="thin">
        <color indexed="64"/>
      </bottom>
      <diagonal/>
    </border>
    <border>
      <left style="thin">
        <color rgb="FF004C5A"/>
      </left>
      <right style="thin">
        <color rgb="FF004663"/>
      </right>
      <top/>
      <bottom style="thin">
        <color rgb="FF004663"/>
      </bottom>
      <diagonal/>
    </border>
    <border>
      <left style="thin">
        <color theme="8" tint="-0.24994659260841701"/>
      </left>
      <right style="medium">
        <color theme="8" tint="-0.499984740745262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rgb="FF205867"/>
      </left>
      <right style="thin">
        <color theme="0"/>
      </right>
      <top style="medium">
        <color rgb="FF205867"/>
      </top>
      <bottom/>
      <diagonal/>
    </border>
    <border>
      <left style="thin">
        <color theme="0"/>
      </left>
      <right/>
      <top style="medium">
        <color rgb="FF205867"/>
      </top>
      <bottom style="thin">
        <color theme="0"/>
      </bottom>
      <diagonal/>
    </border>
    <border>
      <left/>
      <right/>
      <top style="medium">
        <color rgb="FF205867"/>
      </top>
      <bottom style="thin">
        <color theme="0"/>
      </bottom>
      <diagonal/>
    </border>
    <border>
      <left/>
      <right style="thin">
        <color theme="0"/>
      </right>
      <top style="medium">
        <color rgb="FF205867"/>
      </top>
      <bottom style="thin">
        <color theme="0"/>
      </bottom>
      <diagonal/>
    </border>
    <border>
      <left style="medium">
        <color rgb="FF205867"/>
      </left>
      <right style="thin">
        <color theme="0"/>
      </right>
      <top/>
      <bottom style="medium">
        <color rgb="FF20586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205867"/>
      </bottom>
      <diagonal/>
    </border>
    <border>
      <left style="medium">
        <color rgb="FF205867"/>
      </left>
      <right style="thin">
        <color rgb="FF31859B"/>
      </right>
      <top/>
      <bottom/>
      <diagonal/>
    </border>
    <border>
      <left style="thin">
        <color rgb="FF31859B"/>
      </left>
      <right style="thin">
        <color rgb="FF31859B"/>
      </right>
      <top/>
      <bottom/>
      <diagonal/>
    </border>
    <border>
      <left style="medium">
        <color rgb="FF205867"/>
      </left>
      <right style="thin">
        <color theme="0"/>
      </right>
      <top style="thin">
        <color theme="0"/>
      </top>
      <bottom/>
      <diagonal/>
    </border>
    <border>
      <left style="medium">
        <color rgb="FF205867"/>
      </left>
      <right style="thin">
        <color theme="0"/>
      </right>
      <top style="thin">
        <color rgb="FF205867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205867"/>
      </top>
      <bottom style="thin">
        <color theme="0"/>
      </bottom>
      <diagonal/>
    </border>
    <border>
      <left style="medium">
        <color rgb="FF205867"/>
      </left>
      <right style="thin">
        <color rgb="FF31859B"/>
      </right>
      <top style="thin">
        <color theme="3" tint="0.59996337778862885"/>
      </top>
      <bottom style="thin">
        <color rgb="FF205867"/>
      </bottom>
      <diagonal/>
    </border>
    <border>
      <left style="thin">
        <color rgb="FF31859B"/>
      </left>
      <right style="thin">
        <color rgb="FF31859B"/>
      </right>
      <top style="thin">
        <color theme="3" tint="0.59996337778862885"/>
      </top>
      <bottom style="thin">
        <color rgb="FF205867"/>
      </bottom>
      <diagonal/>
    </border>
    <border>
      <left style="thin">
        <color rgb="FF31859B"/>
      </left>
      <right style="medium">
        <color rgb="FF205867"/>
      </right>
      <top style="thin">
        <color theme="3" tint="0.59996337778862885"/>
      </top>
      <bottom style="thin">
        <color rgb="FF205867"/>
      </bottom>
      <diagonal/>
    </border>
    <border>
      <left style="thin">
        <color theme="0"/>
      </left>
      <right style="medium">
        <color rgb="FF205867"/>
      </right>
      <top style="thin">
        <color rgb="FF205867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205867"/>
      </bottom>
      <diagonal/>
    </border>
    <border>
      <left/>
      <right/>
      <top style="thin">
        <color theme="0"/>
      </top>
      <bottom style="medium">
        <color rgb="FF205867"/>
      </bottom>
      <diagonal/>
    </border>
    <border>
      <left/>
      <right style="thin">
        <color theme="0"/>
      </right>
      <top style="thin">
        <color theme="0"/>
      </top>
      <bottom style="medium">
        <color rgb="FF205867"/>
      </bottom>
      <diagonal/>
    </border>
    <border>
      <left/>
      <right style="medium">
        <color rgb="FF205867"/>
      </right>
      <top style="medium">
        <color rgb="FF205867"/>
      </top>
      <bottom style="thin">
        <color theme="0"/>
      </bottom>
      <diagonal/>
    </border>
    <border>
      <left style="thin">
        <color theme="0"/>
      </left>
      <right style="medium">
        <color rgb="FF205867"/>
      </right>
      <top style="thin">
        <color theme="0"/>
      </top>
      <bottom style="medium">
        <color rgb="FF205867"/>
      </bottom>
      <diagonal/>
    </border>
    <border>
      <left style="thin">
        <color rgb="FF31859B"/>
      </left>
      <right style="medium">
        <color rgb="FF205867"/>
      </right>
      <top/>
      <bottom/>
      <diagonal/>
    </border>
    <border>
      <left style="thin">
        <color theme="0"/>
      </left>
      <right style="medium">
        <color rgb="FF205867"/>
      </right>
      <top style="thin">
        <color theme="0"/>
      </top>
      <bottom style="thin">
        <color theme="0"/>
      </bottom>
      <diagonal/>
    </border>
    <border>
      <left/>
      <right style="medium">
        <color rgb="FF205867"/>
      </right>
      <top style="thin">
        <color theme="0"/>
      </top>
      <bottom style="medium">
        <color rgb="FF205867"/>
      </bottom>
      <diagonal/>
    </border>
    <border>
      <left style="thin">
        <color theme="0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thin">
        <color rgb="FF31859B"/>
      </left>
      <right style="thin">
        <color rgb="FF31859B"/>
      </right>
      <top style="medium">
        <color rgb="FF205867"/>
      </top>
      <bottom/>
      <diagonal/>
    </border>
    <border>
      <left style="thin">
        <color theme="0"/>
      </left>
      <right style="thin">
        <color theme="0"/>
      </right>
      <top style="medium">
        <color rgb="FF205867"/>
      </top>
      <bottom style="thin">
        <color theme="0"/>
      </bottom>
      <diagonal/>
    </border>
    <border>
      <left style="thin">
        <color theme="0"/>
      </left>
      <right style="medium">
        <color rgb="FF205867"/>
      </right>
      <top style="medium">
        <color rgb="FF205867"/>
      </top>
      <bottom style="thin">
        <color theme="0"/>
      </bottom>
      <diagonal/>
    </border>
    <border>
      <left style="medium">
        <color rgb="FF03425C"/>
      </left>
      <right style="thin">
        <color theme="0"/>
      </right>
      <top style="medium">
        <color rgb="FF03425C"/>
      </top>
      <bottom style="medium">
        <color rgb="FF205867"/>
      </bottom>
      <diagonal/>
    </border>
    <border>
      <left style="thin">
        <color theme="0"/>
      </left>
      <right style="thin">
        <color theme="0"/>
      </right>
      <top style="medium">
        <color rgb="FF03425C"/>
      </top>
      <bottom style="medium">
        <color rgb="FF205867"/>
      </bottom>
      <diagonal/>
    </border>
    <border>
      <left style="thin">
        <color theme="0"/>
      </left>
      <right style="medium">
        <color rgb="FF03425C"/>
      </right>
      <top style="medium">
        <color rgb="FF03425C"/>
      </top>
      <bottom style="medium">
        <color rgb="FF205867"/>
      </bottom>
      <diagonal/>
    </border>
    <border>
      <left style="medium">
        <color rgb="FF03425C"/>
      </left>
      <right style="thin">
        <color rgb="FF31859B"/>
      </right>
      <top/>
      <bottom/>
      <diagonal/>
    </border>
    <border>
      <left style="thin">
        <color rgb="FF31859B"/>
      </left>
      <right style="medium">
        <color rgb="FF03425C"/>
      </right>
      <top/>
      <bottom/>
      <diagonal/>
    </border>
    <border>
      <left style="medium">
        <color rgb="FF03425C"/>
      </left>
      <right style="thin">
        <color theme="0"/>
      </right>
      <top style="thin">
        <color rgb="FF205867"/>
      </top>
      <bottom style="thin">
        <color theme="0"/>
      </bottom>
      <diagonal/>
    </border>
    <border>
      <left style="thin">
        <color theme="0"/>
      </left>
      <right style="medium">
        <color rgb="FF03425C"/>
      </right>
      <top style="thin">
        <color rgb="FF205867"/>
      </top>
      <bottom style="thin">
        <color theme="0"/>
      </bottom>
      <diagonal/>
    </border>
    <border>
      <left style="thin">
        <color rgb="FF31859B"/>
      </left>
      <right style="medium">
        <color rgb="FF03425C"/>
      </right>
      <top style="medium">
        <color rgb="FF205867"/>
      </top>
      <bottom/>
      <diagonal/>
    </border>
    <border>
      <left style="thin">
        <color rgb="FF31859B"/>
      </left>
      <right style="thin">
        <color rgb="FF31859B"/>
      </right>
      <top/>
      <bottom style="thin">
        <color rgb="FF205867"/>
      </bottom>
      <diagonal/>
    </border>
    <border>
      <left style="thin">
        <color rgb="FF31859B"/>
      </left>
      <right style="medium">
        <color rgb="FF03425C"/>
      </right>
      <top/>
      <bottom style="thin">
        <color rgb="FF205867"/>
      </bottom>
      <diagonal/>
    </border>
    <border>
      <left style="thin">
        <color rgb="FF004C5A"/>
      </left>
      <right style="thin">
        <color theme="0"/>
      </right>
      <top style="thin">
        <color rgb="FF004C5A"/>
      </top>
      <bottom style="thin">
        <color theme="0"/>
      </bottom>
      <diagonal/>
    </border>
    <border>
      <left style="thin">
        <color rgb="FF004C5A"/>
      </left>
      <right style="thin">
        <color theme="0"/>
      </right>
      <top style="thin">
        <color theme="0"/>
      </top>
      <bottom style="thin">
        <color rgb="FF004C5A"/>
      </bottom>
      <diagonal/>
    </border>
    <border>
      <left style="thin">
        <color rgb="FF03425C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4C5A"/>
      </left>
      <right/>
      <top/>
      <bottom/>
      <diagonal/>
    </border>
    <border>
      <left style="thin">
        <color rgb="FF004C5A"/>
      </left>
      <right style="thin">
        <color rgb="FF004C5A"/>
      </right>
      <top style="medium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medium">
        <color rgb="FF004C5A"/>
      </top>
      <bottom style="thin">
        <color rgb="FF004C5A"/>
      </bottom>
      <diagonal/>
    </border>
    <border>
      <left style="thin">
        <color rgb="FF00425C"/>
      </left>
      <right style="thin">
        <color rgb="FF004C5A"/>
      </right>
      <top/>
      <bottom/>
      <diagonal/>
    </border>
    <border>
      <left style="medium">
        <color rgb="FF00425C"/>
      </left>
      <right style="thin">
        <color theme="0"/>
      </right>
      <top style="medium">
        <color rgb="FF00425C"/>
      </top>
      <bottom style="medium">
        <color rgb="FF00425C"/>
      </bottom>
      <diagonal/>
    </border>
    <border>
      <left style="thin">
        <color theme="0"/>
      </left>
      <right style="thin">
        <color theme="0"/>
      </right>
      <top style="medium">
        <color rgb="FF00425C"/>
      </top>
      <bottom style="medium">
        <color rgb="FF00425C"/>
      </bottom>
      <diagonal/>
    </border>
    <border>
      <left style="thin">
        <color theme="0"/>
      </left>
      <right style="medium">
        <color rgb="FF00425C"/>
      </right>
      <top style="medium">
        <color rgb="FF00425C"/>
      </top>
      <bottom style="medium">
        <color rgb="FF00425C"/>
      </bottom>
      <diagonal/>
    </border>
    <border>
      <left style="thin">
        <color rgb="FF03425C"/>
      </left>
      <right style="thin">
        <color rgb="FF03425C"/>
      </right>
      <top style="thin">
        <color rgb="FF03425C"/>
      </top>
      <bottom/>
      <diagonal/>
    </border>
    <border>
      <left style="thin">
        <color rgb="FF03425C"/>
      </left>
      <right style="thin">
        <color rgb="FF03425C"/>
      </right>
      <top/>
      <bottom/>
      <diagonal/>
    </border>
    <border>
      <left style="thin">
        <color rgb="FF03425C"/>
      </left>
      <right style="thin">
        <color rgb="FF03425C"/>
      </right>
      <top/>
      <bottom style="thin">
        <color rgb="FF03425C"/>
      </bottom>
      <diagonal/>
    </border>
    <border>
      <left style="thin">
        <color rgb="FF03425C"/>
      </left>
      <right style="hair">
        <color theme="0"/>
      </right>
      <top style="thin">
        <color rgb="FF03425C"/>
      </top>
      <bottom style="thin">
        <color rgb="FF03425C"/>
      </bottom>
      <diagonal/>
    </border>
    <border>
      <left style="hair">
        <color theme="0"/>
      </left>
      <right style="hair">
        <color theme="0"/>
      </right>
      <top style="thin">
        <color rgb="FF03425C"/>
      </top>
      <bottom style="thin">
        <color rgb="FF03425C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theme="0" tint="-4.9989318521683403E-2"/>
      </left>
      <right style="medium">
        <color rgb="FF00425C"/>
      </right>
      <top/>
      <bottom style="thin">
        <color rgb="FF03425C"/>
      </bottom>
      <diagonal/>
    </border>
    <border>
      <left style="medium">
        <color rgb="FF004C5A"/>
      </left>
      <right style="thin">
        <color theme="0"/>
      </right>
      <top style="thin">
        <color rgb="FF004C5A"/>
      </top>
      <bottom/>
      <diagonal/>
    </border>
    <border>
      <left style="thin">
        <color rgb="FF00425C"/>
      </left>
      <right style="medium">
        <color rgb="FF004663"/>
      </right>
      <top/>
      <bottom/>
      <diagonal/>
    </border>
    <border>
      <left style="medium">
        <color rgb="FF004663"/>
      </left>
      <right style="thin">
        <color rgb="FF00425C"/>
      </right>
      <top/>
      <bottom style="thin">
        <color rgb="FF00425C"/>
      </bottom>
      <diagonal/>
    </border>
    <border>
      <left style="thin">
        <color rgb="FF00425C"/>
      </left>
      <right style="medium">
        <color rgb="FF004663"/>
      </right>
      <top/>
      <bottom style="thin">
        <color rgb="FF00425C"/>
      </bottom>
      <diagonal/>
    </border>
    <border>
      <left style="medium">
        <color rgb="FF004663"/>
      </left>
      <right style="thin">
        <color theme="0"/>
      </right>
      <top style="thin">
        <color rgb="FF00425C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 style="thin">
        <color rgb="FF00425C"/>
      </top>
      <bottom style="thin">
        <color theme="0"/>
      </bottom>
      <diagonal/>
    </border>
    <border>
      <left style="medium">
        <color rgb="FF004663"/>
      </left>
      <right style="thin">
        <color theme="8" tint="-0.24994659260841701"/>
      </right>
      <top/>
      <bottom/>
      <diagonal/>
    </border>
    <border>
      <left style="thin">
        <color theme="0"/>
      </left>
      <right style="medium">
        <color rgb="FF00425C"/>
      </right>
      <top style="medium">
        <color rgb="FF00425C"/>
      </top>
      <bottom style="thin">
        <color theme="0"/>
      </bottom>
      <diagonal/>
    </border>
    <border>
      <left style="medium">
        <color rgb="FF00425C"/>
      </left>
      <right style="thin">
        <color rgb="FF00425C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204162"/>
      </top>
      <bottom style="thin">
        <color rgb="FF03425C"/>
      </bottom>
      <diagonal/>
    </border>
    <border>
      <left style="thin">
        <color theme="0"/>
      </left>
      <right style="thin">
        <color theme="0"/>
      </right>
      <top style="thin">
        <color rgb="FF03425C"/>
      </top>
      <bottom style="thin">
        <color rgb="FF03425C"/>
      </bottom>
      <diagonal/>
    </border>
    <border>
      <left style="thin">
        <color theme="0"/>
      </left>
      <right style="thin">
        <color theme="0"/>
      </right>
      <top style="thin">
        <color rgb="FF03425C"/>
      </top>
      <bottom/>
      <diagonal/>
    </border>
    <border>
      <left style="thin">
        <color theme="0"/>
      </left>
      <right style="medium">
        <color rgb="FF004663"/>
      </right>
      <top style="thin">
        <color theme="0"/>
      </top>
      <bottom style="thin">
        <color rgb="FF004663"/>
      </bottom>
      <diagonal/>
    </border>
    <border>
      <left style="medium">
        <color rgb="FF004663"/>
      </left>
      <right style="thin">
        <color rgb="FF004663"/>
      </right>
      <top/>
      <bottom style="medium">
        <color rgb="FF004663"/>
      </bottom>
      <diagonal/>
    </border>
    <border>
      <left/>
      <right style="medium">
        <color rgb="FF004663"/>
      </right>
      <top/>
      <bottom style="medium">
        <color rgb="FF004663"/>
      </bottom>
      <diagonal/>
    </border>
    <border>
      <left style="medium">
        <color rgb="FF004663"/>
      </left>
      <right style="thin">
        <color rgb="FF004663"/>
      </right>
      <top style="thin">
        <color rgb="FF004663"/>
      </top>
      <bottom style="thin">
        <color rgb="FF004663"/>
      </bottom>
      <diagonal/>
    </border>
    <border>
      <left style="thin">
        <color rgb="FF004663"/>
      </left>
      <right style="thin">
        <color rgb="FF004663"/>
      </right>
      <top style="thin">
        <color rgb="FF004663"/>
      </top>
      <bottom style="thin">
        <color rgb="FF004663"/>
      </bottom>
      <diagonal/>
    </border>
    <border>
      <left style="thin">
        <color rgb="FF004663"/>
      </left>
      <right style="medium">
        <color rgb="FF004663"/>
      </right>
      <top style="thin">
        <color rgb="FF004663"/>
      </top>
      <bottom style="thin">
        <color rgb="FF004663"/>
      </bottom>
      <diagonal/>
    </border>
    <border>
      <left style="medium">
        <color rgb="FF004663"/>
      </left>
      <right style="thin">
        <color theme="0"/>
      </right>
      <top style="medium">
        <color rgb="FF004663"/>
      </top>
      <bottom style="thin">
        <color rgb="FF004663"/>
      </bottom>
      <diagonal/>
    </border>
    <border>
      <left style="medium">
        <color rgb="FF004663"/>
      </left>
      <right style="thin">
        <color theme="0"/>
      </right>
      <top style="thin">
        <color rgb="FF004663"/>
      </top>
      <bottom style="medium">
        <color rgb="FF004663"/>
      </bottom>
      <diagonal/>
    </border>
    <border>
      <left style="thin">
        <color theme="0"/>
      </left>
      <right style="thin">
        <color theme="0"/>
      </right>
      <top style="medium">
        <color rgb="FF204162"/>
      </top>
      <bottom style="medium">
        <color rgb="FF004663"/>
      </bottom>
      <diagonal/>
    </border>
    <border>
      <left style="thin">
        <color theme="0"/>
      </left>
      <right style="medium">
        <color rgb="FF004663"/>
      </right>
      <top style="medium">
        <color rgb="FF204162"/>
      </top>
      <bottom style="medium">
        <color rgb="FF004663"/>
      </bottom>
      <diagonal/>
    </border>
    <border>
      <left style="thin">
        <color rgb="FF03425C"/>
      </left>
      <right style="thin">
        <color rgb="FF004C5A"/>
      </right>
      <top/>
      <bottom style="thin">
        <color rgb="FF004C5A"/>
      </bottom>
      <diagonal/>
    </border>
    <border>
      <left/>
      <right style="thin">
        <color theme="8" tint="-0.499984740745262"/>
      </right>
      <top/>
      <bottom/>
      <diagonal/>
    </border>
    <border>
      <left/>
      <right style="medium">
        <color rgb="FF004C5A"/>
      </right>
      <top style="medium">
        <color rgb="FF004C5A"/>
      </top>
      <bottom style="thin">
        <color rgb="FF004C5A"/>
      </bottom>
      <diagonal/>
    </border>
    <border>
      <left/>
      <right/>
      <top style="medium">
        <color rgb="FF004C5A"/>
      </top>
      <bottom style="thin">
        <color rgb="FF004C5A"/>
      </bottom>
      <diagonal/>
    </border>
    <border>
      <left style="medium">
        <color rgb="FF004C5A"/>
      </left>
      <right/>
      <top/>
      <bottom style="thin">
        <color indexed="64"/>
      </bottom>
      <diagonal/>
    </border>
    <border>
      <left/>
      <right style="medium">
        <color rgb="FF004C5A"/>
      </right>
      <top/>
      <bottom style="thin">
        <color indexed="64"/>
      </bottom>
      <diagonal/>
    </border>
    <border>
      <left style="medium">
        <color rgb="FF004C5A"/>
      </left>
      <right/>
      <top style="medium">
        <color rgb="FF004C5A"/>
      </top>
      <bottom style="thin">
        <color indexed="64"/>
      </bottom>
      <diagonal/>
    </border>
    <border>
      <left/>
      <right/>
      <top style="medium">
        <color rgb="FF004C5A"/>
      </top>
      <bottom style="thin">
        <color indexed="64"/>
      </bottom>
      <diagonal/>
    </border>
    <border>
      <left style="thin">
        <color rgb="FF004C5A"/>
      </left>
      <right style="medium">
        <color rgb="FF004C5A"/>
      </right>
      <top style="thin">
        <color indexed="64"/>
      </top>
      <bottom/>
      <diagonal/>
    </border>
    <border>
      <left/>
      <right style="thin">
        <color rgb="FF004C5A"/>
      </right>
      <top style="thin">
        <color rgb="FF004C5A"/>
      </top>
      <bottom/>
      <diagonal/>
    </border>
    <border>
      <left/>
      <right style="thin">
        <color rgb="FF004C5A"/>
      </right>
      <top/>
      <bottom/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  <border>
      <left style="thin">
        <color rgb="FF03425C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rgb="FF03425C"/>
      </right>
      <top style="medium">
        <color rgb="FF004C5A"/>
      </top>
      <bottom style="medium">
        <color rgb="FF004C5A"/>
      </bottom>
      <diagonal/>
    </border>
    <border>
      <left style="hair">
        <color theme="0"/>
      </left>
      <right style="thin">
        <color theme="0"/>
      </right>
      <top style="thin">
        <color rgb="FF03425C"/>
      </top>
      <bottom style="thin">
        <color rgb="FF03425C"/>
      </bottom>
      <diagonal/>
    </border>
    <border>
      <left style="thin">
        <color theme="0"/>
      </left>
      <right style="thin">
        <color rgb="FF03425C"/>
      </right>
      <top style="thin">
        <color rgb="FF03425C"/>
      </top>
      <bottom style="thin">
        <color rgb="FF03425C"/>
      </bottom>
      <diagonal/>
    </border>
    <border>
      <left style="thin">
        <color theme="0"/>
      </left>
      <right/>
      <top style="medium">
        <color rgb="FF004663"/>
      </top>
      <bottom/>
      <diagonal/>
    </border>
    <border>
      <left/>
      <right style="medium">
        <color rgb="FF004663"/>
      </right>
      <top style="medium">
        <color rgb="FF004663"/>
      </top>
      <bottom/>
      <diagonal/>
    </border>
    <border>
      <left/>
      <right style="medium">
        <color rgb="FF004663"/>
      </right>
      <top/>
      <bottom/>
      <diagonal/>
    </border>
    <border>
      <left style="thin">
        <color rgb="FF004663"/>
      </left>
      <right/>
      <top/>
      <bottom style="medium">
        <color rgb="FF004663"/>
      </bottom>
      <diagonal/>
    </border>
    <border>
      <left style="thin">
        <color theme="0"/>
      </left>
      <right style="thin">
        <color theme="0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rgb="FF204162"/>
      </left>
      <right style="thin">
        <color rgb="FF204162"/>
      </right>
      <top style="medium">
        <color theme="8" tint="-0.499984740745262"/>
      </top>
      <bottom/>
      <diagonal/>
    </border>
    <border>
      <left style="thin">
        <color rgb="FF2041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thin">
        <color rgb="FF204162"/>
      </left>
      <right style="thin">
        <color rgb="FF204162"/>
      </right>
      <top/>
      <bottom style="medium">
        <color theme="8" tint="-0.499984740745262"/>
      </bottom>
      <diagonal/>
    </border>
    <border>
      <left style="thin">
        <color rgb="FF2041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7558519241921"/>
      </bottom>
      <diagonal/>
    </border>
    <border>
      <left style="medium">
        <color rgb="FF004663"/>
      </left>
      <right style="thin">
        <color theme="0"/>
      </right>
      <top style="thin">
        <color theme="0"/>
      </top>
      <bottom style="thin">
        <color theme="4" tint="0.39997558519241921"/>
      </bottom>
      <diagonal/>
    </border>
    <border>
      <left style="thin">
        <color theme="0"/>
      </left>
      <right style="medium">
        <color rgb="FF004663"/>
      </right>
      <top style="thin">
        <color theme="0"/>
      </top>
      <bottom style="thin">
        <color theme="4" tint="0.39997558519241921"/>
      </bottom>
      <diagonal/>
    </border>
    <border>
      <left style="medium">
        <color rgb="FF004663"/>
      </left>
      <right style="thin">
        <color theme="0"/>
      </right>
      <top style="thin">
        <color theme="4" tint="0.39997558519241921"/>
      </top>
      <bottom style="medium">
        <color rgb="FF004663"/>
      </bottom>
      <diagonal/>
    </border>
    <border>
      <left style="medium">
        <color rgb="FF004663"/>
      </left>
      <right style="thin">
        <color rgb="FF004663"/>
      </right>
      <top style="thin">
        <color theme="4" tint="0.39997558519241921"/>
      </top>
      <bottom/>
      <diagonal/>
    </border>
    <border>
      <left style="thin">
        <color rgb="FF004663"/>
      </left>
      <right style="thin">
        <color rgb="FF004663"/>
      </right>
      <top style="thin">
        <color theme="4" tint="0.39997558519241921"/>
      </top>
      <bottom/>
      <diagonal/>
    </border>
    <border>
      <left style="thin">
        <color rgb="FF004663"/>
      </left>
      <right style="medium">
        <color rgb="FF004663"/>
      </right>
      <top style="thin">
        <color theme="4" tint="0.39997558519241921"/>
      </top>
      <bottom/>
      <diagonal/>
    </border>
    <border>
      <left style="medium">
        <color rgb="FF004663"/>
      </left>
      <right style="thin">
        <color rgb="FF004663"/>
      </right>
      <top/>
      <bottom style="thin">
        <color theme="4" tint="0.39997558519241921"/>
      </bottom>
      <diagonal/>
    </border>
    <border>
      <left style="thin">
        <color rgb="FF004663"/>
      </left>
      <right style="thin">
        <color rgb="FF004663"/>
      </right>
      <top/>
      <bottom style="thin">
        <color theme="4" tint="0.39997558519241921"/>
      </bottom>
      <diagonal/>
    </border>
    <border>
      <left style="thin">
        <color rgb="FF004663"/>
      </left>
      <right style="medium">
        <color rgb="FF004663"/>
      </right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4" tint="0.39997558519241921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 style="thin">
        <color theme="4" tint="0.39997558519241921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/>
      <bottom style="medium">
        <color rgb="FF004663"/>
      </bottom>
      <diagonal/>
    </border>
    <border>
      <left style="thin">
        <color theme="0"/>
      </left>
      <right style="thin">
        <color rgb="FF004663"/>
      </right>
      <top style="thin">
        <color rgb="FF004663"/>
      </top>
      <bottom style="thin">
        <color theme="0"/>
      </bottom>
      <diagonal/>
    </border>
    <border>
      <left style="thin">
        <color theme="0"/>
      </left>
      <right style="thin">
        <color rgb="FF004663"/>
      </right>
      <top style="thin">
        <color theme="0"/>
      </top>
      <bottom style="thin">
        <color rgb="FF004663"/>
      </bottom>
      <diagonal/>
    </border>
    <border>
      <left style="thin">
        <color rgb="FF004663"/>
      </left>
      <right style="hair">
        <color theme="0" tint="-4.9989318521683403E-2"/>
      </right>
      <top style="thin">
        <color rgb="FF004663"/>
      </top>
      <bottom style="hair">
        <color theme="0" tint="-4.9989318521683403E-2"/>
      </bottom>
      <diagonal/>
    </border>
    <border>
      <left style="hair">
        <color theme="0" tint="-4.9989318521683403E-2"/>
      </left>
      <right style="hair">
        <color theme="0" tint="-4.9989318521683403E-2"/>
      </right>
      <top style="thin">
        <color rgb="FF004663"/>
      </top>
      <bottom style="hair">
        <color theme="0" tint="-4.9989318521683403E-2"/>
      </bottom>
      <diagonal/>
    </border>
    <border>
      <left style="hair">
        <color theme="0" tint="-4.9989318521683403E-2"/>
      </left>
      <right style="thin">
        <color rgb="FF004663"/>
      </right>
      <top style="thin">
        <color rgb="FF004663"/>
      </top>
      <bottom style="hair">
        <color theme="0" tint="-4.9989318521683403E-2"/>
      </bottom>
      <diagonal/>
    </border>
    <border>
      <left style="thin">
        <color rgb="FF004663"/>
      </left>
      <right style="hair">
        <color theme="0" tint="-4.9989318521683403E-2"/>
      </right>
      <top style="hair">
        <color theme="0" tint="-4.9989318521683403E-2"/>
      </top>
      <bottom style="thin">
        <color rgb="FF004663"/>
      </bottom>
      <diagonal/>
    </border>
    <border>
      <left style="hair">
        <color rgb="FF004663"/>
      </left>
      <right style="hair">
        <color theme="0" tint="-4.9989318521683403E-2"/>
      </right>
      <top style="hair">
        <color theme="0" tint="-4.9989318521683403E-2"/>
      </top>
      <bottom style="thin">
        <color rgb="FF004663"/>
      </bottom>
      <diagonal/>
    </border>
    <border>
      <left style="hair">
        <color rgb="FF004663"/>
      </left>
      <right style="thin">
        <color rgb="FF004663"/>
      </right>
      <top style="hair">
        <color theme="0" tint="-4.9989318521683403E-2"/>
      </top>
      <bottom style="thin">
        <color rgb="FF00466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03425C"/>
      </left>
      <right style="thin">
        <color rgb="FF004C5A"/>
      </right>
      <top style="thin">
        <color rgb="FF004C5A"/>
      </top>
      <bottom/>
      <diagonal/>
    </border>
    <border>
      <left style="thin">
        <color rgb="FF03425C"/>
      </left>
      <right style="thin">
        <color rgb="FF004C5A"/>
      </right>
      <top/>
      <bottom/>
      <diagonal/>
    </border>
    <border>
      <left style="medium">
        <color rgb="FF004663"/>
      </left>
      <right style="thin">
        <color rgb="FF004663"/>
      </right>
      <top/>
      <bottom style="thin">
        <color rgb="FF004663"/>
      </bottom>
      <diagonal/>
    </border>
    <border>
      <left style="thin">
        <color rgb="FF004663"/>
      </left>
      <right style="medium">
        <color rgb="FF004663"/>
      </right>
      <top/>
      <bottom style="thin">
        <color rgb="FF00466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4663"/>
      </bottom>
      <diagonal/>
    </border>
    <border>
      <left style="thin">
        <color rgb="FF004663"/>
      </left>
      <right style="thick">
        <color rgb="FF004663"/>
      </right>
      <top style="thin">
        <color rgb="FF004663"/>
      </top>
      <bottom style="thin">
        <color rgb="FF004663"/>
      </bottom>
      <diagonal/>
    </border>
    <border>
      <left style="thin">
        <color rgb="FF004663"/>
      </left>
      <right style="thick">
        <color rgb="FF004663"/>
      </right>
      <top style="thin">
        <color rgb="FF004663"/>
      </top>
      <bottom style="thick">
        <color rgb="FF004663"/>
      </bottom>
      <diagonal/>
    </border>
    <border>
      <left style="thick">
        <color rgb="FF004663"/>
      </left>
      <right style="thin">
        <color theme="0"/>
      </right>
      <top style="thick">
        <color rgb="FF004663"/>
      </top>
      <bottom style="thin">
        <color rgb="FF004663"/>
      </bottom>
      <diagonal/>
    </border>
    <border>
      <left style="thin">
        <color theme="0"/>
      </left>
      <right style="thin">
        <color theme="0"/>
      </right>
      <top style="thick">
        <color rgb="FF004663"/>
      </top>
      <bottom style="thin">
        <color rgb="FF004663"/>
      </bottom>
      <diagonal/>
    </border>
    <border>
      <left style="thin">
        <color theme="0"/>
      </left>
      <right style="thick">
        <color rgb="FF004663"/>
      </right>
      <top style="thick">
        <color rgb="FF004663"/>
      </top>
      <bottom style="thin">
        <color rgb="FF004663"/>
      </bottom>
      <diagonal/>
    </border>
    <border>
      <left style="thick">
        <color rgb="FF004663"/>
      </left>
      <right style="thin">
        <color rgb="FF004663"/>
      </right>
      <top/>
      <bottom style="thick">
        <color rgb="FF004663"/>
      </bottom>
      <diagonal/>
    </border>
    <border>
      <left style="thick">
        <color rgb="FF004663"/>
      </left>
      <right style="thin">
        <color rgb="FF004663"/>
      </right>
      <top style="thin">
        <color rgb="FF004663"/>
      </top>
      <bottom/>
      <diagonal/>
    </border>
    <border>
      <left style="thin">
        <color rgb="FF004663"/>
      </left>
      <right style="thin">
        <color rgb="FF004663"/>
      </right>
      <top/>
      <bottom style="thick">
        <color rgb="FF004663"/>
      </bottom>
      <diagonal/>
    </border>
    <border>
      <left/>
      <right/>
      <top style="thin">
        <color theme="0"/>
      </top>
      <bottom/>
      <diagonal/>
    </border>
  </borders>
  <cellStyleXfs count="4075">
    <xf numFmtId="0" fontId="0" fillId="0" borderId="0"/>
    <xf numFmtId="9" fontId="11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3" fillId="36" borderId="0" applyNumberFormat="0" applyBorder="0" applyAlignment="0" applyProtection="0"/>
    <xf numFmtId="0" fontId="11" fillId="13" borderId="0" applyNumberFormat="0" applyBorder="0" applyAlignment="0" applyProtection="0"/>
    <xf numFmtId="0" fontId="16" fillId="37" borderId="0" applyNumberFormat="0" applyBorder="0" applyAlignment="0" applyProtection="0"/>
    <xf numFmtId="0" fontId="23" fillId="38" borderId="0" applyNumberFormat="0" applyBorder="0" applyAlignment="0" applyProtection="0"/>
    <xf numFmtId="0" fontId="11" fillId="17" borderId="0" applyNumberFormat="0" applyBorder="0" applyAlignment="0" applyProtection="0"/>
    <xf numFmtId="0" fontId="16" fillId="39" borderId="0" applyNumberFormat="0" applyBorder="0" applyAlignment="0" applyProtection="0"/>
    <xf numFmtId="0" fontId="23" fillId="40" borderId="0" applyNumberFormat="0" applyBorder="0" applyAlignment="0" applyProtection="0"/>
    <xf numFmtId="0" fontId="11" fillId="21" borderId="0" applyNumberFormat="0" applyBorder="0" applyAlignment="0" applyProtection="0"/>
    <xf numFmtId="0" fontId="16" fillId="41" borderId="0" applyNumberFormat="0" applyBorder="0" applyAlignment="0" applyProtection="0"/>
    <xf numFmtId="0" fontId="23" fillId="42" borderId="0" applyNumberFormat="0" applyBorder="0" applyAlignment="0" applyProtection="0"/>
    <xf numFmtId="0" fontId="11" fillId="25" borderId="0" applyNumberFormat="0" applyBorder="0" applyAlignment="0" applyProtection="0"/>
    <xf numFmtId="0" fontId="16" fillId="43" borderId="0" applyNumberFormat="0" applyBorder="0" applyAlignment="0" applyProtection="0"/>
    <xf numFmtId="0" fontId="23" fillId="44" borderId="0" applyNumberFormat="0" applyBorder="0" applyAlignment="0" applyProtection="0"/>
    <xf numFmtId="0" fontId="11" fillId="29" borderId="0" applyNumberFormat="0" applyBorder="0" applyAlignment="0" applyProtection="0"/>
    <xf numFmtId="0" fontId="16" fillId="44" borderId="0" applyNumberFormat="0" applyBorder="0" applyAlignment="0" applyProtection="0"/>
    <xf numFmtId="0" fontId="23" fillId="43" borderId="0" applyNumberFormat="0" applyBorder="0" applyAlignment="0" applyProtection="0"/>
    <xf numFmtId="0" fontId="11" fillId="33" borderId="0" applyNumberFormat="0" applyBorder="0" applyAlignment="0" applyProtection="0"/>
    <xf numFmtId="0" fontId="16" fillId="41" borderId="0" applyNumberFormat="0" applyBorder="0" applyAlignment="0" applyProtection="0"/>
    <xf numFmtId="0" fontId="23" fillId="37" borderId="0" applyNumberFormat="0" applyBorder="0" applyAlignment="0" applyProtection="0"/>
    <xf numFmtId="0" fontId="11" fillId="14" borderId="0" applyNumberFormat="0" applyBorder="0" applyAlignment="0" applyProtection="0"/>
    <xf numFmtId="0" fontId="16" fillId="44" borderId="0" applyNumberFormat="0" applyBorder="0" applyAlignment="0" applyProtection="0"/>
    <xf numFmtId="0" fontId="23" fillId="39" borderId="0" applyNumberFormat="0" applyBorder="0" applyAlignment="0" applyProtection="0"/>
    <xf numFmtId="0" fontId="11" fillId="18" borderId="0" applyNumberFormat="0" applyBorder="0" applyAlignment="0" applyProtection="0"/>
    <xf numFmtId="0" fontId="16" fillId="39" borderId="0" applyNumberFormat="0" applyBorder="0" applyAlignment="0" applyProtection="0"/>
    <xf numFmtId="0" fontId="23" fillId="45" borderId="0" applyNumberFormat="0" applyBorder="0" applyAlignment="0" applyProtection="0"/>
    <xf numFmtId="0" fontId="11" fillId="22" borderId="0" applyNumberFormat="0" applyBorder="0" applyAlignment="0" applyProtection="0"/>
    <xf numFmtId="0" fontId="16" fillId="46" borderId="0" applyNumberFormat="0" applyBorder="0" applyAlignment="0" applyProtection="0"/>
    <xf numFmtId="0" fontId="23" fillId="42" borderId="0" applyNumberFormat="0" applyBorder="0" applyAlignment="0" applyProtection="0"/>
    <xf numFmtId="0" fontId="11" fillId="26" borderId="0" applyNumberFormat="0" applyBorder="0" applyAlignment="0" applyProtection="0"/>
    <xf numFmtId="0" fontId="16" fillId="38" borderId="0" applyNumberFormat="0" applyBorder="0" applyAlignment="0" applyProtection="0"/>
    <xf numFmtId="0" fontId="23" fillId="37" borderId="0" applyNumberFormat="0" applyBorder="0" applyAlignment="0" applyProtection="0"/>
    <xf numFmtId="0" fontId="11" fillId="30" borderId="0" applyNumberFormat="0" applyBorder="0" applyAlignment="0" applyProtection="0"/>
    <xf numFmtId="0" fontId="16" fillId="44" borderId="0" applyNumberFormat="0" applyBorder="0" applyAlignment="0" applyProtection="0"/>
    <xf numFmtId="0" fontId="23" fillId="47" borderId="0" applyNumberFormat="0" applyBorder="0" applyAlignment="0" applyProtection="0"/>
    <xf numFmtId="0" fontId="11" fillId="34" borderId="0" applyNumberFormat="0" applyBorder="0" applyAlignment="0" applyProtection="0"/>
    <xf numFmtId="0" fontId="16" fillId="41" borderId="0" applyNumberFormat="0" applyBorder="0" applyAlignment="0" applyProtection="0"/>
    <xf numFmtId="0" fontId="24" fillId="48" borderId="0" applyNumberFormat="0" applyBorder="0" applyAlignment="0" applyProtection="0"/>
    <xf numFmtId="0" fontId="18" fillId="15" borderId="0" applyNumberFormat="0" applyBorder="0" applyAlignment="0" applyProtection="0"/>
    <xf numFmtId="0" fontId="16" fillId="44" borderId="0" applyNumberFormat="0" applyBorder="0" applyAlignment="0" applyProtection="0"/>
    <xf numFmtId="0" fontId="24" fillId="39" borderId="0" applyNumberFormat="0" applyBorder="0" applyAlignment="0" applyProtection="0"/>
    <xf numFmtId="0" fontId="18" fillId="19" borderId="0" applyNumberFormat="0" applyBorder="0" applyAlignment="0" applyProtection="0"/>
    <xf numFmtId="0" fontId="16" fillId="49" borderId="0" applyNumberFormat="0" applyBorder="0" applyAlignment="0" applyProtection="0"/>
    <xf numFmtId="0" fontId="24" fillId="45" borderId="0" applyNumberFormat="0" applyBorder="0" applyAlignment="0" applyProtection="0"/>
    <xf numFmtId="0" fontId="18" fillId="23" borderId="0" applyNumberFormat="0" applyBorder="0" applyAlignment="0" applyProtection="0"/>
    <xf numFmtId="0" fontId="16" fillId="47" borderId="0" applyNumberFormat="0" applyBorder="0" applyAlignment="0" applyProtection="0"/>
    <xf numFmtId="0" fontId="24" fillId="50" borderId="0" applyNumberFormat="0" applyBorder="0" applyAlignment="0" applyProtection="0"/>
    <xf numFmtId="0" fontId="18" fillId="27" borderId="0" applyNumberFormat="0" applyBorder="0" applyAlignment="0" applyProtection="0"/>
    <xf numFmtId="0" fontId="16" fillId="38" borderId="0" applyNumberFormat="0" applyBorder="0" applyAlignment="0" applyProtection="0"/>
    <xf numFmtId="0" fontId="24" fillId="51" borderId="0" applyNumberFormat="0" applyBorder="0" applyAlignment="0" applyProtection="0"/>
    <xf numFmtId="0" fontId="18" fillId="31" borderId="0" applyNumberFormat="0" applyBorder="0" applyAlignment="0" applyProtection="0"/>
    <xf numFmtId="0" fontId="16" fillId="44" borderId="0" applyNumberFormat="0" applyBorder="0" applyAlignment="0" applyProtection="0"/>
    <xf numFmtId="0" fontId="24" fillId="52" borderId="0" applyNumberFormat="0" applyBorder="0" applyAlignment="0" applyProtection="0"/>
    <xf numFmtId="0" fontId="18" fillId="35" borderId="0" applyNumberFormat="0" applyBorder="0" applyAlignment="0" applyProtection="0"/>
    <xf numFmtId="0" fontId="16" fillId="39" borderId="0" applyNumberFormat="0" applyBorder="0" applyAlignment="0" applyProtection="0"/>
    <xf numFmtId="0" fontId="25" fillId="40" borderId="0" applyNumberFormat="0" applyBorder="0" applyAlignment="0" applyProtection="0"/>
    <xf numFmtId="0" fontId="42" fillId="5" borderId="0" applyNumberFormat="0" applyBorder="0" applyAlignment="0" applyProtection="0"/>
    <xf numFmtId="0" fontId="16" fillId="44" borderId="0" applyNumberFormat="0" applyBorder="0" applyAlignment="0" applyProtection="0"/>
    <xf numFmtId="0" fontId="26" fillId="53" borderId="16" applyNumberFormat="0" applyAlignment="0" applyProtection="0"/>
    <xf numFmtId="0" fontId="43" fillId="9" borderId="10" applyNumberFormat="0" applyAlignment="0" applyProtection="0"/>
    <xf numFmtId="0" fontId="16" fillId="54" borderId="16" applyNumberFormat="0" applyAlignment="0" applyProtection="0"/>
    <xf numFmtId="0" fontId="27" fillId="55" borderId="17" applyNumberFormat="0" applyAlignment="0" applyProtection="0"/>
    <xf numFmtId="0" fontId="12" fillId="10" borderId="13" applyNumberFormat="0" applyAlignment="0" applyProtection="0"/>
    <xf numFmtId="0" fontId="16" fillId="55" borderId="17" applyNumberFormat="0" applyAlignment="0" applyProtection="0"/>
    <xf numFmtId="0" fontId="28" fillId="0" borderId="18" applyNumberFormat="0" applyFill="0" applyAlignment="0" applyProtection="0"/>
    <xf numFmtId="0" fontId="44" fillId="0" borderId="12" applyNumberFormat="0" applyFill="0" applyAlignment="0" applyProtection="0"/>
    <xf numFmtId="0" fontId="16" fillId="0" borderId="19" applyNumberFormat="0" applyFill="0" applyAlignment="0" applyProtection="0"/>
    <xf numFmtId="0" fontId="2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4" fillId="56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56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6" fillId="57" borderId="0" applyNumberFormat="0" applyBorder="0" applyAlignment="0" applyProtection="0"/>
    <xf numFmtId="0" fontId="24" fillId="58" borderId="0" applyNumberFormat="0" applyBorder="0" applyAlignment="0" applyProtection="0"/>
    <xf numFmtId="0" fontId="18" fillId="16" borderId="0" applyNumberFormat="0" applyBorder="0" applyAlignment="0" applyProtection="0"/>
    <xf numFmtId="0" fontId="16" fillId="49" borderId="0" applyNumberFormat="0" applyBorder="0" applyAlignment="0" applyProtection="0"/>
    <xf numFmtId="0" fontId="24" fillId="59" borderId="0" applyNumberFormat="0" applyBorder="0" applyAlignment="0" applyProtection="0"/>
    <xf numFmtId="0" fontId="18" fillId="20" borderId="0" applyNumberFormat="0" applyBorder="0" applyAlignment="0" applyProtection="0"/>
    <xf numFmtId="0" fontId="16" fillId="47" borderId="0" applyNumberFormat="0" applyBorder="0" applyAlignment="0" applyProtection="0"/>
    <xf numFmtId="0" fontId="24" fillId="50" borderId="0" applyNumberFormat="0" applyBorder="0" applyAlignment="0" applyProtection="0"/>
    <xf numFmtId="0" fontId="18" fillId="24" borderId="0" applyNumberFormat="0" applyBorder="0" applyAlignment="0" applyProtection="0"/>
    <xf numFmtId="0" fontId="16" fillId="60" borderId="0" applyNumberFormat="0" applyBorder="0" applyAlignment="0" applyProtection="0"/>
    <xf numFmtId="0" fontId="24" fillId="51" borderId="0" applyNumberFormat="0" applyBorder="0" applyAlignment="0" applyProtection="0"/>
    <xf numFmtId="0" fontId="18" fillId="28" borderId="0" applyNumberFormat="0" applyBorder="0" applyAlignment="0" applyProtection="0"/>
    <xf numFmtId="0" fontId="16" fillId="51" borderId="0" applyNumberFormat="0" applyBorder="0" applyAlignment="0" applyProtection="0"/>
    <xf numFmtId="0" fontId="24" fillId="49" borderId="0" applyNumberFormat="0" applyBorder="0" applyAlignment="0" applyProtection="0"/>
    <xf numFmtId="0" fontId="18" fillId="32" borderId="0" applyNumberFormat="0" applyBorder="0" applyAlignment="0" applyProtection="0"/>
    <xf numFmtId="0" fontId="16" fillId="58" borderId="0" applyNumberFormat="0" applyBorder="0" applyAlignment="0" applyProtection="0"/>
    <xf numFmtId="0" fontId="30" fillId="43" borderId="16" applyNumberFormat="0" applyAlignment="0" applyProtection="0"/>
    <xf numFmtId="0" fontId="46" fillId="8" borderId="10" applyNumberFormat="0" applyAlignment="0" applyProtection="0"/>
    <xf numFmtId="0" fontId="16" fillId="46" borderId="16" applyNumberFormat="0" applyAlignment="0" applyProtection="0"/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/>
    <xf numFmtId="0" fontId="31" fillId="38" borderId="0" applyNumberFormat="0" applyBorder="0" applyAlignment="0" applyProtection="0"/>
    <xf numFmtId="0" fontId="48" fillId="6" borderId="0" applyNumberFormat="0" applyBorder="0" applyAlignment="0" applyProtection="0"/>
    <xf numFmtId="0" fontId="16" fillId="42" borderId="0" applyNumberFormat="0" applyBorder="0" applyAlignment="0" applyProtection="0"/>
    <xf numFmtId="168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32" fillId="46" borderId="0" applyNumberFormat="0" applyBorder="0" applyAlignment="0" applyProtection="0"/>
    <xf numFmtId="0" fontId="49" fillId="7" borderId="0" applyNumberFormat="0" applyBorder="0" applyAlignment="0" applyProtection="0"/>
    <xf numFmtId="0" fontId="16" fillId="46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40" fillId="0" borderId="0"/>
    <xf numFmtId="0" fontId="16" fillId="0" borderId="0"/>
    <xf numFmtId="177" fontId="16" fillId="0" borderId="0"/>
    <xf numFmtId="177" fontId="16" fillId="0" borderId="0"/>
    <xf numFmtId="0" fontId="11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23" fillId="0" borderId="0"/>
    <xf numFmtId="0" fontId="40" fillId="0" borderId="0"/>
    <xf numFmtId="0" fontId="16" fillId="0" borderId="0" applyNumberFormat="0" applyFont="0" applyFill="0" applyBorder="0" applyAlignment="0" applyProtection="0"/>
    <xf numFmtId="0" fontId="11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/>
    <xf numFmtId="0" fontId="11" fillId="11" borderId="14" applyNumberFormat="0" applyFont="0" applyAlignment="0" applyProtection="0"/>
    <xf numFmtId="0" fontId="16" fillId="41" borderId="20" applyNumberFormat="0" applyFont="0" applyAlignment="0" applyProtection="0"/>
    <xf numFmtId="0" fontId="16" fillId="41" borderId="20" applyNumberFormat="0" applyFont="0" applyAlignment="0" applyProtection="0"/>
    <xf numFmtId="0" fontId="22" fillId="0" borderId="21">
      <alignment horizontal="centerContinuous"/>
    </xf>
    <xf numFmtId="0" fontId="16" fillId="0" borderId="21">
      <alignment horizontal="centerContinuous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NumberFormat="0" applyFont="0" applyFill="0" applyBorder="0" applyAlignment="0" applyProtection="0"/>
    <xf numFmtId="9" fontId="16" fillId="0" borderId="0" applyNumberFormat="0" applyFont="0" applyFill="0" applyBorder="0" applyAlignment="0" applyProtection="0"/>
    <xf numFmtId="9" fontId="16" fillId="0" borderId="0" applyNumberFormat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3" fillId="53" borderId="22" applyNumberFormat="0" applyAlignment="0" applyProtection="0"/>
    <xf numFmtId="0" fontId="50" fillId="9" borderId="11" applyNumberFormat="0" applyAlignment="0" applyProtection="0"/>
    <xf numFmtId="0" fontId="16" fillId="54" borderId="22" applyNumberFormat="0" applyAlignment="0" applyProtection="0"/>
    <xf numFmtId="0" fontId="3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23" applyNumberFormat="0" applyFill="0" applyAlignment="0" applyProtection="0"/>
    <xf numFmtId="0" fontId="53" fillId="0" borderId="7" applyNumberFormat="0" applyFill="0" applyAlignment="0" applyProtection="0"/>
    <xf numFmtId="0" fontId="16" fillId="0" borderId="24" applyNumberFormat="0" applyFill="0" applyAlignment="0" applyProtection="0"/>
    <xf numFmtId="0" fontId="38" fillId="0" borderId="25" applyNumberFormat="0" applyFill="0" applyAlignment="0" applyProtection="0"/>
    <xf numFmtId="0" fontId="54" fillId="0" borderId="8" applyNumberFormat="0" applyFill="0" applyAlignment="0" applyProtection="0"/>
    <xf numFmtId="0" fontId="16" fillId="0" borderId="26" applyNumberFormat="0" applyFill="0" applyAlignment="0" applyProtection="0"/>
    <xf numFmtId="0" fontId="29" fillId="0" borderId="27" applyNumberFormat="0" applyFill="0" applyAlignment="0" applyProtection="0"/>
    <xf numFmtId="0" fontId="45" fillId="0" borderId="9" applyNumberFormat="0" applyFill="0" applyAlignment="0" applyProtection="0"/>
    <xf numFmtId="0" fontId="16" fillId="0" borderId="28" applyNumberFormat="0" applyFill="0" applyAlignment="0" applyProtection="0"/>
    <xf numFmtId="0" fontId="3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9" fillId="0" borderId="29" applyNumberFormat="0" applyFill="0" applyAlignment="0" applyProtection="0"/>
    <xf numFmtId="0" fontId="17" fillId="0" borderId="15" applyNumberFormat="0" applyFill="0" applyAlignment="0" applyProtection="0"/>
    <xf numFmtId="0" fontId="16" fillId="0" borderId="30" applyNumberFormat="0" applyFill="0" applyAlignment="0" applyProtection="0"/>
    <xf numFmtId="172" fontId="16" fillId="0" borderId="0" applyFont="0" applyFill="0" applyBorder="0" applyAlignment="0" applyProtection="0"/>
    <xf numFmtId="0" fontId="58" fillId="0" borderId="0"/>
    <xf numFmtId="168" fontId="58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178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60" fillId="0" borderId="0"/>
    <xf numFmtId="0" fontId="61" fillId="0" borderId="0"/>
    <xf numFmtId="0" fontId="22" fillId="0" borderId="21">
      <alignment horizontal="centerContinuous"/>
    </xf>
    <xf numFmtId="168" fontId="58" fillId="0" borderId="0" applyFont="0" applyFill="0" applyBorder="0" applyAlignment="0" applyProtection="0"/>
    <xf numFmtId="168" fontId="58" fillId="0" borderId="0" applyFont="0" applyFill="0" applyBorder="0" applyAlignment="0" applyProtection="0"/>
    <xf numFmtId="168" fontId="58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8" fontId="58" fillId="0" borderId="0" applyFont="0" applyFill="0" applyBorder="0" applyAlignment="0" applyProtection="0"/>
    <xf numFmtId="168" fontId="58" fillId="0" borderId="0" applyFont="0" applyFill="0" applyBorder="0" applyAlignment="0" applyProtection="0"/>
    <xf numFmtId="168" fontId="58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16" fillId="0" borderId="0" applyNumberFormat="0" applyFont="0" applyFill="0" applyBorder="0" applyAlignment="0" applyProtection="0"/>
    <xf numFmtId="9" fontId="16" fillId="0" borderId="0" applyNumberFormat="0" applyFont="0" applyFill="0" applyBorder="0" applyAlignment="0" applyProtection="0"/>
    <xf numFmtId="172" fontId="16" fillId="0" borderId="0" applyFont="0" applyFill="0" applyBorder="0" applyAlignment="0" applyProtection="0"/>
    <xf numFmtId="0" fontId="78" fillId="0" borderId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11" fillId="0" borderId="0"/>
    <xf numFmtId="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82" fillId="0" borderId="0"/>
    <xf numFmtId="0" fontId="83" fillId="0" borderId="0"/>
    <xf numFmtId="172" fontId="16" fillId="0" borderId="0" applyFont="0" applyFill="0" applyBorder="0" applyAlignment="0" applyProtection="0"/>
    <xf numFmtId="0" fontId="84" fillId="0" borderId="0" applyNumberFormat="0" applyFill="0" applyBorder="0" applyAlignment="0" applyProtection="0"/>
    <xf numFmtId="9" fontId="16" fillId="0" borderId="0" applyNumberFormat="0" applyFont="0" applyFill="0" applyBorder="0" applyAlignment="0" applyProtection="0"/>
    <xf numFmtId="9" fontId="83" fillId="0" borderId="0" applyFont="0" applyFill="0" applyBorder="0" applyAlignment="0" applyProtection="0"/>
    <xf numFmtId="0" fontId="16" fillId="0" borderId="0" applyNumberFormat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8" fontId="83" fillId="0" borderId="0" applyFont="0" applyFill="0" applyBorder="0" applyAlignment="0" applyProtection="0"/>
    <xf numFmtId="0" fontId="83" fillId="0" borderId="0"/>
    <xf numFmtId="0" fontId="11" fillId="0" borderId="0"/>
    <xf numFmtId="176" fontId="16" fillId="0" borderId="0" applyFont="0" applyFill="0" applyBorder="0" applyAlignment="0" applyProtection="0"/>
    <xf numFmtId="168" fontId="11" fillId="0" borderId="0" applyFont="0" applyFill="0" applyBorder="0" applyAlignment="0" applyProtection="0"/>
    <xf numFmtId="179" fontId="16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1" fillId="0" borderId="0"/>
    <xf numFmtId="0" fontId="16" fillId="0" borderId="0" applyNumberFormat="0" applyFont="0" applyFill="0" applyBorder="0" applyAlignment="0" applyProtection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18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23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4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18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177" fontId="16" fillId="0" borderId="0"/>
    <xf numFmtId="0" fontId="11" fillId="0" borderId="0"/>
    <xf numFmtId="177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177" fontId="16" fillId="0" borderId="0"/>
    <xf numFmtId="0" fontId="11" fillId="0" borderId="0"/>
    <xf numFmtId="177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6" fillId="0" borderId="0" applyNumberFormat="0" applyFont="0" applyFill="0" applyBorder="0" applyAlignment="0" applyProtection="0"/>
    <xf numFmtId="0" fontId="2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0" fontId="6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 applyNumberFormat="0" applyFont="0" applyFill="0" applyBorder="0" applyAlignment="0" applyProtection="0"/>
    <xf numFmtId="0" fontId="11" fillId="0" borderId="0"/>
    <xf numFmtId="0" fontId="16" fillId="0" borderId="0"/>
    <xf numFmtId="18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0" fontId="11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0" fontId="22" fillId="0" borderId="21">
      <alignment horizontal="centerContinuous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0" fillId="0" borderId="0"/>
    <xf numFmtId="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68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1" fillId="11" borderId="14" applyNumberFormat="0" applyFont="0" applyAlignment="0" applyProtection="0"/>
    <xf numFmtId="0" fontId="89" fillId="0" borderId="0"/>
    <xf numFmtId="168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0" fontId="91" fillId="0" borderId="0"/>
    <xf numFmtId="172" fontId="16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9" borderId="0" applyNumberFormat="0" applyBorder="0" applyAlignment="0" applyProtection="0"/>
    <xf numFmtId="0" fontId="23" fillId="70" borderId="0" applyNumberFormat="0" applyBorder="0" applyAlignment="0" applyProtection="0"/>
    <xf numFmtId="0" fontId="23" fillId="71" borderId="0" applyNumberFormat="0" applyBorder="0" applyAlignment="0" applyProtection="0"/>
    <xf numFmtId="0" fontId="23" fillId="72" borderId="0" applyNumberFormat="0" applyBorder="0" applyAlignment="0" applyProtection="0"/>
    <xf numFmtId="0" fontId="23" fillId="67" borderId="0" applyNumberFormat="0" applyBorder="0" applyAlignment="0" applyProtection="0"/>
    <xf numFmtId="0" fontId="23" fillId="70" borderId="0" applyNumberFormat="0" applyBorder="0" applyAlignment="0" applyProtection="0"/>
    <xf numFmtId="0" fontId="23" fillId="73" borderId="0" applyNumberFormat="0" applyBorder="0" applyAlignment="0" applyProtection="0"/>
    <xf numFmtId="0" fontId="24" fillId="74" borderId="0" applyNumberFormat="0" applyBorder="0" applyAlignment="0" applyProtection="0"/>
    <xf numFmtId="0" fontId="24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5" borderId="0" applyNumberFormat="0" applyBorder="0" applyAlignment="0" applyProtection="0"/>
    <xf numFmtId="0" fontId="24" fillId="76" borderId="0" applyNumberFormat="0" applyBorder="0" applyAlignment="0" applyProtection="0"/>
    <xf numFmtId="0" fontId="24" fillId="77" borderId="0" applyNumberFormat="0" applyBorder="0" applyAlignment="0" applyProtection="0"/>
    <xf numFmtId="0" fontId="25" fillId="66" borderId="0" applyNumberFormat="0" applyBorder="0" applyAlignment="0" applyProtection="0"/>
    <xf numFmtId="0" fontId="26" fillId="78" borderId="16" applyNumberFormat="0" applyAlignment="0" applyProtection="0"/>
    <xf numFmtId="0" fontId="27" fillId="79" borderId="17" applyNumberFormat="0" applyAlignment="0" applyProtection="0"/>
    <xf numFmtId="0" fontId="24" fillId="80" borderId="0" applyNumberFormat="0" applyBorder="0" applyAlignment="0" applyProtection="0"/>
    <xf numFmtId="0" fontId="24" fillId="81" borderId="0" applyNumberFormat="0" applyBorder="0" applyAlignment="0" applyProtection="0"/>
    <xf numFmtId="0" fontId="24" fillId="82" borderId="0" applyNumberFormat="0" applyBorder="0" applyAlignment="0" applyProtection="0"/>
    <xf numFmtId="0" fontId="24" fillId="75" borderId="0" applyNumberFormat="0" applyBorder="0" applyAlignment="0" applyProtection="0"/>
    <xf numFmtId="0" fontId="24" fillId="76" borderId="0" applyNumberFormat="0" applyBorder="0" applyAlignment="0" applyProtection="0"/>
    <xf numFmtId="0" fontId="24" fillId="83" borderId="0" applyNumberFormat="0" applyBorder="0" applyAlignment="0" applyProtection="0"/>
    <xf numFmtId="0" fontId="30" fillId="69" borderId="16" applyNumberFormat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0" fontId="31" fillId="65" borderId="0" applyNumberFormat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82" fontId="16" fillId="0" borderId="0" applyFill="0" applyBorder="0" applyAlignment="0" applyProtection="0"/>
    <xf numFmtId="182" fontId="16" fillId="0" borderId="0" applyFill="0" applyBorder="0" applyAlignment="0" applyProtection="0"/>
    <xf numFmtId="182" fontId="16" fillId="0" borderId="0" applyFill="0" applyBorder="0" applyAlignment="0" applyProtection="0"/>
    <xf numFmtId="182" fontId="16" fillId="0" borderId="0" applyFill="0" applyBorder="0" applyAlignment="0" applyProtection="0"/>
    <xf numFmtId="182" fontId="16" fillId="0" borderId="0" applyFill="0" applyBorder="0" applyAlignment="0" applyProtection="0"/>
    <xf numFmtId="182" fontId="16" fillId="0" borderId="0" applyFill="0" applyBorder="0" applyAlignment="0" applyProtection="0"/>
    <xf numFmtId="43" fontId="23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32" fillId="6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0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0" fontId="11" fillId="0" borderId="0"/>
    <xf numFmtId="0" fontId="11" fillId="0" borderId="0"/>
    <xf numFmtId="0" fontId="11" fillId="0" borderId="0"/>
    <xf numFmtId="0" fontId="11" fillId="0" borderId="0"/>
    <xf numFmtId="0" fontId="16" fillId="84" borderId="20" applyNumberFormat="0" applyAlignment="0" applyProtection="0"/>
    <xf numFmtId="0" fontId="16" fillId="84" borderId="20" applyNumberFormat="0" applyAlignment="0" applyProtection="0"/>
    <xf numFmtId="9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3" fillId="78" borderId="22" applyNumberFormat="0" applyAlignment="0" applyProtection="0"/>
    <xf numFmtId="0" fontId="11" fillId="0" borderId="0"/>
    <xf numFmtId="0" fontId="11" fillId="0" borderId="0"/>
    <xf numFmtId="0" fontId="16" fillId="0" borderId="0" applyNumberFormat="0" applyFont="0" applyFill="0" applyBorder="0" applyAlignment="0" applyProtection="0"/>
    <xf numFmtId="0" fontId="40" fillId="0" borderId="0"/>
    <xf numFmtId="0" fontId="16" fillId="0" borderId="0" applyNumberFormat="0" applyFont="0" applyFill="0" applyBorder="0" applyAlignment="0" applyProtection="0"/>
    <xf numFmtId="9" fontId="1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6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0" fontId="23" fillId="36" borderId="0" applyNumberFormat="0" applyBorder="0" applyAlignment="0" applyProtection="0"/>
    <xf numFmtId="0" fontId="23" fillId="38" borderId="0" applyNumberFormat="0" applyBorder="0" applyAlignment="0" applyProtection="0"/>
    <xf numFmtId="0" fontId="23" fillId="40" borderId="0" applyNumberFormat="0" applyBorder="0" applyAlignment="0" applyProtection="0"/>
    <xf numFmtId="0" fontId="23" fillId="42" borderId="0" applyNumberFormat="0" applyBorder="0" applyAlignment="0" applyProtection="0"/>
    <xf numFmtId="0" fontId="23" fillId="44" borderId="0" applyNumberFormat="0" applyBorder="0" applyAlignment="0" applyProtection="0"/>
    <xf numFmtId="0" fontId="23" fillId="43" borderId="0" applyNumberFormat="0" applyBorder="0" applyAlignment="0" applyProtection="0"/>
    <xf numFmtId="0" fontId="23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37" borderId="0" applyNumberFormat="0" applyBorder="0" applyAlignment="0" applyProtection="0"/>
    <xf numFmtId="0" fontId="23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39" borderId="0" applyNumberFormat="0" applyBorder="0" applyAlignment="0" applyProtection="0"/>
    <xf numFmtId="0" fontId="24" fillId="45" borderId="0" applyNumberFormat="0" applyBorder="0" applyAlignment="0" applyProtection="0"/>
    <xf numFmtId="0" fontId="24" fillId="50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6" borderId="0" applyNumberFormat="0" applyBorder="0" applyAlignment="0" applyProtection="0"/>
    <xf numFmtId="0" fontId="24" fillId="58" borderId="0" applyNumberFormat="0" applyBorder="0" applyAlignment="0" applyProtection="0"/>
    <xf numFmtId="0" fontId="24" fillId="59" borderId="0" applyNumberFormat="0" applyBorder="0" applyAlignment="0" applyProtection="0"/>
    <xf numFmtId="0" fontId="24" fillId="50" borderId="0" applyNumberFormat="0" applyBorder="0" applyAlignment="0" applyProtection="0"/>
    <xf numFmtId="0" fontId="24" fillId="51" borderId="0" applyNumberFormat="0" applyBorder="0" applyAlignment="0" applyProtection="0"/>
    <xf numFmtId="0" fontId="24" fillId="49" borderId="0" applyNumberFormat="0" applyBorder="0" applyAlignment="0" applyProtection="0"/>
    <xf numFmtId="0" fontId="31" fillId="38" borderId="0" applyNumberFormat="0" applyBorder="0" applyAlignment="0" applyProtection="0"/>
    <xf numFmtId="0" fontId="26" fillId="53" borderId="16" applyNumberFormat="0" applyAlignment="0" applyProtection="0"/>
    <xf numFmtId="0" fontId="27" fillId="55" borderId="17" applyNumberFormat="0" applyAlignment="0" applyProtection="0"/>
    <xf numFmtId="0" fontId="99" fillId="85" borderId="110">
      <alignment vertical="center" wrapText="1"/>
    </xf>
    <xf numFmtId="0" fontId="99" fillId="85" borderId="110">
      <alignment vertical="center" wrapText="1"/>
    </xf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5" fillId="40" borderId="0" applyNumberFormat="0" applyBorder="0" applyAlignment="0" applyProtection="0"/>
    <xf numFmtId="0" fontId="37" fillId="0" borderId="23" applyNumberFormat="0" applyFill="0" applyAlignment="0" applyProtection="0"/>
    <xf numFmtId="0" fontId="38" fillId="0" borderId="25" applyNumberFormat="0" applyFill="0" applyAlignment="0" applyProtection="0"/>
    <xf numFmtId="0" fontId="29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43" borderId="16" applyNumberFormat="0" applyAlignment="0" applyProtection="0"/>
    <xf numFmtId="0" fontId="28" fillId="0" borderId="18" applyNumberFormat="0" applyFill="0" applyAlignment="0" applyProtection="0"/>
    <xf numFmtId="0" fontId="61" fillId="0" borderId="0"/>
    <xf numFmtId="37" fontId="16" fillId="0" borderId="0"/>
    <xf numFmtId="0" fontId="60" fillId="0" borderId="0"/>
    <xf numFmtId="0" fontId="60" fillId="0" borderId="0"/>
    <xf numFmtId="0" fontId="100" fillId="0" borderId="0"/>
    <xf numFmtId="0" fontId="23" fillId="41" borderId="20" applyNumberFormat="0" applyFont="0" applyAlignment="0" applyProtection="0"/>
    <xf numFmtId="0" fontId="33" fillId="53" borderId="22" applyNumberFormat="0" applyAlignment="0" applyProtection="0"/>
    <xf numFmtId="0" fontId="3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01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8" fillId="15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35" borderId="0" applyNumberFormat="0" applyBorder="0" applyAlignment="0" applyProtection="0"/>
    <xf numFmtId="0" fontId="42" fillId="5" borderId="0" applyNumberFormat="0" applyBorder="0" applyAlignment="0" applyProtection="0"/>
    <xf numFmtId="0" fontId="43" fillId="9" borderId="10" applyNumberFormat="0" applyAlignment="0" applyProtection="0"/>
    <xf numFmtId="0" fontId="12" fillId="10" borderId="13" applyNumberFormat="0" applyAlignment="0" applyProtection="0"/>
    <xf numFmtId="0" fontId="44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46" fillId="8" borderId="10" applyNumberFormat="0" applyAlignment="0" applyProtection="0"/>
    <xf numFmtId="0" fontId="48" fillId="6" borderId="0" applyNumberFormat="0" applyBorder="0" applyAlignment="0" applyProtection="0"/>
    <xf numFmtId="168" fontId="101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0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9" fillId="7" borderId="0" applyNumberFormat="0" applyBorder="0" applyAlignment="0" applyProtection="0"/>
    <xf numFmtId="0" fontId="16" fillId="0" borderId="0"/>
    <xf numFmtId="0" fontId="102" fillId="0" borderId="0"/>
    <xf numFmtId="0" fontId="11" fillId="0" borderId="0"/>
    <xf numFmtId="0" fontId="11" fillId="0" borderId="0"/>
    <xf numFmtId="0" fontId="60" fillId="0" borderId="0"/>
    <xf numFmtId="0" fontId="13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11" fillId="11" borderId="14" applyNumberFormat="0" applyFont="0" applyAlignment="0" applyProtection="0"/>
    <xf numFmtId="0" fontId="16" fillId="0" borderId="21">
      <alignment horizontal="centerContinuous"/>
    </xf>
    <xf numFmtId="9" fontId="10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50" fillId="9" borderId="11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7" applyNumberFormat="0" applyFill="0" applyAlignment="0" applyProtection="0"/>
    <xf numFmtId="0" fontId="54" fillId="0" borderId="8" applyNumberFormat="0" applyFill="0" applyAlignment="0" applyProtection="0"/>
    <xf numFmtId="0" fontId="45" fillId="0" borderId="9" applyNumberFormat="0" applyFill="0" applyAlignment="0" applyProtection="0"/>
    <xf numFmtId="0" fontId="17" fillId="0" borderId="15" applyNumberFormat="0" applyFill="0" applyAlignment="0" applyProtection="0"/>
    <xf numFmtId="0" fontId="101" fillId="0" borderId="0"/>
    <xf numFmtId="0" fontId="106" fillId="0" borderId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106" fillId="0" borderId="0"/>
    <xf numFmtId="0" fontId="11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53" fillId="0" borderId="7" applyNumberFormat="0" applyFill="0" applyAlignment="0" applyProtection="0"/>
    <xf numFmtId="0" fontId="5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2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46" fillId="8" borderId="10" applyNumberFormat="0" applyAlignment="0" applyProtection="0"/>
    <xf numFmtId="0" fontId="50" fillId="9" borderId="11" applyNumberFormat="0" applyAlignment="0" applyProtection="0"/>
    <xf numFmtId="0" fontId="43" fillId="9" borderId="10" applyNumberFormat="0" applyAlignment="0" applyProtection="0"/>
    <xf numFmtId="0" fontId="44" fillId="0" borderId="12" applyNumberFormat="0" applyFill="0" applyAlignment="0" applyProtection="0"/>
    <xf numFmtId="0" fontId="12" fillId="10" borderId="13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8" fillId="35" borderId="0" applyNumberFormat="0" applyBorder="0" applyAlignment="0" applyProtection="0"/>
    <xf numFmtId="0" fontId="94" fillId="0" borderId="0"/>
    <xf numFmtId="166" fontId="11" fillId="0" borderId="0" applyFont="0" applyFill="0" applyBorder="0" applyAlignment="0" applyProtection="0"/>
    <xf numFmtId="0" fontId="94" fillId="0" borderId="0"/>
    <xf numFmtId="0" fontId="94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6" fillId="0" borderId="0"/>
    <xf numFmtId="43" fontId="23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6" fillId="0" borderId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168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6" fillId="0" borderId="0"/>
    <xf numFmtId="168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1" fillId="0" borderId="0" applyFont="0" applyFill="0" applyBorder="0" applyAlignment="0" applyProtection="0"/>
    <xf numFmtId="0" fontId="172" fillId="0" borderId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23" fillId="64" borderId="0" applyNumberFormat="0" applyBorder="0" applyAlignment="0" applyProtection="0"/>
    <xf numFmtId="0" fontId="11" fillId="54" borderId="0" applyNumberFormat="0" applyBorder="0" applyAlignment="0" applyProtection="0"/>
    <xf numFmtId="0" fontId="23" fillId="36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23" fillId="65" borderId="0" applyNumberFormat="0" applyBorder="0" applyAlignment="0" applyProtection="0"/>
    <xf numFmtId="0" fontId="11" fillId="43" borderId="0" applyNumberFormat="0" applyBorder="0" applyAlignment="0" applyProtection="0"/>
    <xf numFmtId="0" fontId="23" fillId="38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23" fillId="66" borderId="0" applyNumberFormat="0" applyBorder="0" applyAlignment="0" applyProtection="0"/>
    <xf numFmtId="0" fontId="11" fillId="36" borderId="0" applyNumberFormat="0" applyBorder="0" applyAlignment="0" applyProtection="0"/>
    <xf numFmtId="0" fontId="23" fillId="40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23" fillId="67" borderId="0" applyNumberFormat="0" applyBorder="0" applyAlignment="0" applyProtection="0"/>
    <xf numFmtId="0" fontId="11" fillId="54" borderId="0" applyNumberFormat="0" applyBorder="0" applyAlignment="0" applyProtection="0"/>
    <xf numFmtId="0" fontId="23" fillId="42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23" fillId="68" borderId="0" applyNumberFormat="0" applyBorder="0" applyAlignment="0" applyProtection="0"/>
    <xf numFmtId="0" fontId="11" fillId="115" borderId="0" applyNumberFormat="0" applyBorder="0" applyAlignment="0" applyProtection="0"/>
    <xf numFmtId="0" fontId="23" fillId="44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11" fillId="115" borderId="0" applyNumberFormat="0" applyBorder="0" applyAlignment="0" applyProtection="0"/>
    <xf numFmtId="0" fontId="23" fillId="69" borderId="0" applyNumberFormat="0" applyBorder="0" applyAlignment="0" applyProtection="0"/>
    <xf numFmtId="0" fontId="23" fillId="4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23" fillId="70" borderId="0" applyNumberFormat="0" applyBorder="0" applyAlignment="0" applyProtection="0"/>
    <xf numFmtId="0" fontId="11" fillId="53" borderId="0" applyNumberFormat="0" applyBorder="0" applyAlignment="0" applyProtection="0"/>
    <xf numFmtId="0" fontId="23" fillId="37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23" fillId="71" borderId="0" applyNumberFormat="0" applyBorder="0" applyAlignment="0" applyProtection="0"/>
    <xf numFmtId="0" fontId="11" fillId="43" borderId="0" applyNumberFormat="0" applyBorder="0" applyAlignment="0" applyProtection="0"/>
    <xf numFmtId="0" fontId="23" fillId="39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23" fillId="72" borderId="0" applyNumberFormat="0" applyBorder="0" applyAlignment="0" applyProtection="0"/>
    <xf numFmtId="0" fontId="11" fillId="36" borderId="0" applyNumberFormat="0" applyBorder="0" applyAlignment="0" applyProtection="0"/>
    <xf numFmtId="0" fontId="23" fillId="45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23" fillId="67" borderId="0" applyNumberFormat="0" applyBorder="0" applyAlignment="0" applyProtection="0"/>
    <xf numFmtId="0" fontId="11" fillId="53" borderId="0" applyNumberFormat="0" applyBorder="0" applyAlignment="0" applyProtection="0"/>
    <xf numFmtId="0" fontId="23" fillId="42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23" fillId="70" borderId="0" applyNumberFormat="0" applyBorder="0" applyAlignment="0" applyProtection="0"/>
    <xf numFmtId="0" fontId="23" fillId="37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23" fillId="73" borderId="0" applyNumberFormat="0" applyBorder="0" applyAlignment="0" applyProtection="0"/>
    <xf numFmtId="0" fontId="11" fillId="43" borderId="0" applyNumberFormat="0" applyBorder="0" applyAlignment="0" applyProtection="0"/>
    <xf numFmtId="0" fontId="23" fillId="47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24" fillId="74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24" fillId="71" borderId="0" applyNumberFormat="0" applyBorder="0" applyAlignment="0" applyProtection="0"/>
    <xf numFmtId="0" fontId="18" fillId="19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24" fillId="7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53" borderId="0" applyNumberFormat="0" applyBorder="0" applyAlignment="0" applyProtection="0"/>
    <xf numFmtId="0" fontId="18" fillId="53" borderId="0" applyNumberFormat="0" applyBorder="0" applyAlignment="0" applyProtection="0"/>
    <xf numFmtId="0" fontId="24" fillId="75" borderId="0" applyNumberFormat="0" applyBorder="0" applyAlignment="0" applyProtection="0"/>
    <xf numFmtId="0" fontId="18" fillId="53" borderId="0" applyNumberFormat="0" applyBorder="0" applyAlignment="0" applyProtection="0"/>
    <xf numFmtId="0" fontId="18" fillId="53" borderId="0" applyNumberFormat="0" applyBorder="0" applyAlignment="0" applyProtection="0"/>
    <xf numFmtId="0" fontId="18" fillId="53" borderId="0" applyNumberFormat="0" applyBorder="0" applyAlignment="0" applyProtection="0"/>
    <xf numFmtId="0" fontId="18" fillId="53" borderId="0" applyNumberFormat="0" applyBorder="0" applyAlignment="0" applyProtection="0"/>
    <xf numFmtId="0" fontId="18" fillId="53" borderId="0" applyNumberFormat="0" applyBorder="0" applyAlignment="0" applyProtection="0"/>
    <xf numFmtId="0" fontId="18" fillId="53" borderId="0" applyNumberFormat="0" applyBorder="0" applyAlignment="0" applyProtection="0"/>
    <xf numFmtId="0" fontId="18" fillId="53" borderId="0" applyNumberFormat="0" applyBorder="0" applyAlignment="0" applyProtection="0"/>
    <xf numFmtId="0" fontId="18" fillId="53" borderId="0" applyNumberFormat="0" applyBorder="0" applyAlignment="0" applyProtection="0"/>
    <xf numFmtId="0" fontId="18" fillId="53" borderId="0" applyNumberFormat="0" applyBorder="0" applyAlignment="0" applyProtection="0"/>
    <xf numFmtId="0" fontId="18" fillId="53" borderId="0" applyNumberFormat="0" applyBorder="0" applyAlignment="0" applyProtection="0"/>
    <xf numFmtId="0" fontId="24" fillId="76" borderId="0" applyNumberFormat="0" applyBorder="0" applyAlignment="0" applyProtection="0"/>
    <xf numFmtId="0" fontId="18" fillId="31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24" fillId="77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25" fillId="66" borderId="0" applyNumberFormat="0" applyBorder="0" applyAlignment="0" applyProtection="0"/>
    <xf numFmtId="0" fontId="42" fillId="5" borderId="0" applyNumberFormat="0" applyBorder="0" applyAlignment="0" applyProtection="0"/>
    <xf numFmtId="0" fontId="43" fillId="54" borderId="10" applyNumberFormat="0" applyAlignment="0" applyProtection="0"/>
    <xf numFmtId="0" fontId="43" fillId="54" borderId="10" applyNumberFormat="0" applyAlignment="0" applyProtection="0"/>
    <xf numFmtId="0" fontId="26" fillId="78" borderId="16" applyNumberFormat="0" applyAlignment="0" applyProtection="0"/>
    <xf numFmtId="0" fontId="43" fillId="54" borderId="10" applyNumberFormat="0" applyAlignment="0" applyProtection="0"/>
    <xf numFmtId="0" fontId="43" fillId="54" borderId="10" applyNumberFormat="0" applyAlignment="0" applyProtection="0"/>
    <xf numFmtId="0" fontId="43" fillId="54" borderId="10" applyNumberFormat="0" applyAlignment="0" applyProtection="0"/>
    <xf numFmtId="0" fontId="43" fillId="54" borderId="10" applyNumberFormat="0" applyAlignment="0" applyProtection="0"/>
    <xf numFmtId="0" fontId="43" fillId="54" borderId="10" applyNumberFormat="0" applyAlignment="0" applyProtection="0"/>
    <xf numFmtId="0" fontId="43" fillId="54" borderId="10" applyNumberFormat="0" applyAlignment="0" applyProtection="0"/>
    <xf numFmtId="0" fontId="43" fillId="54" borderId="10" applyNumberFormat="0" applyAlignment="0" applyProtection="0"/>
    <xf numFmtId="0" fontId="43" fillId="54" borderId="10" applyNumberFormat="0" applyAlignment="0" applyProtection="0"/>
    <xf numFmtId="0" fontId="43" fillId="54" borderId="10" applyNumberFormat="0" applyAlignment="0" applyProtection="0"/>
    <xf numFmtId="0" fontId="43" fillId="54" borderId="10" applyNumberFormat="0" applyAlignment="0" applyProtection="0"/>
    <xf numFmtId="0" fontId="27" fillId="79" borderId="17" applyNumberFormat="0" applyAlignment="0" applyProtection="0"/>
    <xf numFmtId="0" fontId="12" fillId="10" borderId="13" applyNumberFormat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116" borderId="0" applyNumberFormat="0" applyBorder="0" applyAlignment="0" applyProtection="0"/>
    <xf numFmtId="0" fontId="18" fillId="116" borderId="0" applyNumberFormat="0" applyBorder="0" applyAlignment="0" applyProtection="0"/>
    <xf numFmtId="0" fontId="24" fillId="81" borderId="0" applyNumberFormat="0" applyBorder="0" applyAlignment="0" applyProtection="0"/>
    <xf numFmtId="0" fontId="18" fillId="116" borderId="0" applyNumberFormat="0" applyBorder="0" applyAlignment="0" applyProtection="0"/>
    <xf numFmtId="0" fontId="18" fillId="116" borderId="0" applyNumberFormat="0" applyBorder="0" applyAlignment="0" applyProtection="0"/>
    <xf numFmtId="0" fontId="18" fillId="116" borderId="0" applyNumberFormat="0" applyBorder="0" applyAlignment="0" applyProtection="0"/>
    <xf numFmtId="0" fontId="18" fillId="116" borderId="0" applyNumberFormat="0" applyBorder="0" applyAlignment="0" applyProtection="0"/>
    <xf numFmtId="0" fontId="18" fillId="116" borderId="0" applyNumberFormat="0" applyBorder="0" applyAlignment="0" applyProtection="0"/>
    <xf numFmtId="0" fontId="18" fillId="116" borderId="0" applyNumberFormat="0" applyBorder="0" applyAlignment="0" applyProtection="0"/>
    <xf numFmtId="0" fontId="18" fillId="116" borderId="0" applyNumberFormat="0" applyBorder="0" applyAlignment="0" applyProtection="0"/>
    <xf numFmtId="0" fontId="18" fillId="116" borderId="0" applyNumberFormat="0" applyBorder="0" applyAlignment="0" applyProtection="0"/>
    <xf numFmtId="0" fontId="18" fillId="116" borderId="0" applyNumberFormat="0" applyBorder="0" applyAlignment="0" applyProtection="0"/>
    <xf numFmtId="0" fontId="18" fillId="11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24" fillId="8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24" fillId="75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24" fillId="76" borderId="0" applyNumberFormat="0" applyBorder="0" applyAlignment="0" applyProtection="0"/>
    <xf numFmtId="0" fontId="18" fillId="2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24" fillId="83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30" fillId="69" borderId="16" applyNumberFormat="0" applyAlignment="0" applyProtection="0"/>
    <xf numFmtId="0" fontId="46" fillId="8" borderId="10" applyNumberFormat="0" applyAlignment="0" applyProtection="0"/>
    <xf numFmtId="0" fontId="99" fillId="117" borderId="110">
      <alignment vertical="center" wrapText="1"/>
    </xf>
    <xf numFmtId="0" fontId="99" fillId="117" borderId="110">
      <alignment vertical="center" wrapText="1"/>
    </xf>
    <xf numFmtId="0" fontId="99" fillId="117" borderId="110">
      <alignment vertical="center" wrapText="1"/>
    </xf>
    <xf numFmtId="0" fontId="99" fillId="117" borderId="110">
      <alignment vertical="center" wrapText="1"/>
    </xf>
    <xf numFmtId="0" fontId="99" fillId="117" borderId="110">
      <alignment vertical="center" wrapText="1"/>
    </xf>
    <xf numFmtId="0" fontId="99" fillId="117" borderId="110">
      <alignment vertical="center" wrapText="1"/>
    </xf>
    <xf numFmtId="0" fontId="99" fillId="117" borderId="110">
      <alignment vertical="center" wrapText="1"/>
    </xf>
    <xf numFmtId="0" fontId="99" fillId="117" borderId="110">
      <alignment vertical="center" wrapText="1"/>
    </xf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180" fillId="0" borderId="0" applyNumberFormat="0" applyFill="0" applyBorder="0" applyAlignment="0" applyProtection="0"/>
    <xf numFmtId="0" fontId="181" fillId="6" borderId="0" applyNumberFormat="0" applyBorder="0" applyAlignment="0" applyProtection="0"/>
    <xf numFmtId="0" fontId="181" fillId="6" borderId="0" applyNumberFormat="0" applyBorder="0" applyAlignment="0" applyProtection="0"/>
    <xf numFmtId="0" fontId="31" fillId="65" borderId="0" applyNumberFormat="0" applyBorder="0" applyAlignment="0" applyProtection="0"/>
    <xf numFmtId="0" fontId="181" fillId="6" borderId="0" applyNumberFormat="0" applyBorder="0" applyAlignment="0" applyProtection="0"/>
    <xf numFmtId="0" fontId="181" fillId="6" borderId="0" applyNumberFormat="0" applyBorder="0" applyAlignment="0" applyProtection="0"/>
    <xf numFmtId="0" fontId="181" fillId="6" borderId="0" applyNumberFormat="0" applyBorder="0" applyAlignment="0" applyProtection="0"/>
    <xf numFmtId="0" fontId="181" fillId="6" borderId="0" applyNumberFormat="0" applyBorder="0" applyAlignment="0" applyProtection="0"/>
    <xf numFmtId="0" fontId="181" fillId="6" borderId="0" applyNumberFormat="0" applyBorder="0" applyAlignment="0" applyProtection="0"/>
    <xf numFmtId="0" fontId="181" fillId="6" borderId="0" applyNumberFormat="0" applyBorder="0" applyAlignment="0" applyProtection="0"/>
    <xf numFmtId="0" fontId="181" fillId="6" borderId="0" applyNumberFormat="0" applyBorder="0" applyAlignment="0" applyProtection="0"/>
    <xf numFmtId="0" fontId="181" fillId="6" borderId="0" applyNumberFormat="0" applyBorder="0" applyAlignment="0" applyProtection="0"/>
    <xf numFmtId="0" fontId="181" fillId="6" borderId="0" applyNumberFormat="0" applyBorder="0" applyAlignment="0" applyProtection="0"/>
    <xf numFmtId="0" fontId="181" fillId="6" borderId="0" applyNumberFormat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23" fillId="0" borderId="0" applyFont="0" applyFill="0" applyBorder="0" applyAlignment="0" applyProtection="0"/>
    <xf numFmtId="182" fontId="16" fillId="0" borderId="0" applyFill="0" applyBorder="0" applyAlignment="0" applyProtection="0"/>
    <xf numFmtId="168" fontId="23" fillId="0" borderId="0" applyFont="0" applyFill="0" applyBorder="0" applyAlignment="0" applyProtection="0"/>
    <xf numFmtId="182" fontId="16" fillId="0" borderId="0" applyFill="0" applyBorder="0" applyAlignment="0" applyProtection="0"/>
    <xf numFmtId="168" fontId="23" fillId="0" borderId="0" applyFont="0" applyFill="0" applyBorder="0" applyAlignment="0" applyProtection="0"/>
    <xf numFmtId="182" fontId="16" fillId="0" borderId="0" applyFill="0" applyBorder="0" applyAlignment="0" applyProtection="0"/>
    <xf numFmtId="168" fontId="23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23" fillId="0" borderId="0" applyFont="0" applyFill="0" applyBorder="0" applyAlignment="0" applyProtection="0"/>
    <xf numFmtId="181" fontId="1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49" fillId="41" borderId="0" applyNumberFormat="0" applyBorder="0" applyAlignment="0" applyProtection="0"/>
    <xf numFmtId="0" fontId="49" fillId="41" borderId="0" applyNumberFormat="0" applyBorder="0" applyAlignment="0" applyProtection="0"/>
    <xf numFmtId="0" fontId="32" fillId="63" borderId="0" applyNumberFormat="0" applyBorder="0" applyAlignment="0" applyProtection="0"/>
    <xf numFmtId="0" fontId="49" fillId="41" borderId="0" applyNumberFormat="0" applyBorder="0" applyAlignment="0" applyProtection="0"/>
    <xf numFmtId="0" fontId="49" fillId="41" borderId="0" applyNumberFormat="0" applyBorder="0" applyAlignment="0" applyProtection="0"/>
    <xf numFmtId="0" fontId="49" fillId="41" borderId="0" applyNumberFormat="0" applyBorder="0" applyAlignment="0" applyProtection="0"/>
    <xf numFmtId="0" fontId="49" fillId="41" borderId="0" applyNumberFormat="0" applyBorder="0" applyAlignment="0" applyProtection="0"/>
    <xf numFmtId="0" fontId="49" fillId="41" borderId="0" applyNumberFormat="0" applyBorder="0" applyAlignment="0" applyProtection="0"/>
    <xf numFmtId="0" fontId="49" fillId="41" borderId="0" applyNumberFormat="0" applyBorder="0" applyAlignment="0" applyProtection="0"/>
    <xf numFmtId="0" fontId="49" fillId="41" borderId="0" applyNumberFormat="0" applyBorder="0" applyAlignment="0" applyProtection="0"/>
    <xf numFmtId="0" fontId="49" fillId="41" borderId="0" applyNumberFormat="0" applyBorder="0" applyAlignment="0" applyProtection="0"/>
    <xf numFmtId="0" fontId="49" fillId="41" borderId="0" applyNumberFormat="0" applyBorder="0" applyAlignment="0" applyProtection="0"/>
    <xf numFmtId="0" fontId="49" fillId="41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94" fillId="0" borderId="0"/>
    <xf numFmtId="0" fontId="16" fillId="0" borderId="0"/>
    <xf numFmtId="0" fontId="16" fillId="0" borderId="0"/>
    <xf numFmtId="0" fontId="94" fillId="0" borderId="0"/>
    <xf numFmtId="0" fontId="16" fillId="0" borderId="0"/>
    <xf numFmtId="0" fontId="16" fillId="0" borderId="0"/>
    <xf numFmtId="0" fontId="94" fillId="0" borderId="0"/>
    <xf numFmtId="0" fontId="9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0" fontId="11" fillId="0" borderId="0"/>
    <xf numFmtId="18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0" fontId="11" fillId="0" borderId="0"/>
    <xf numFmtId="18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0" fontId="11" fillId="0" borderId="0"/>
    <xf numFmtId="18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0" fontId="11" fillId="0" borderId="0"/>
    <xf numFmtId="18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23" fillId="0" borderId="0"/>
    <xf numFmtId="0" fontId="40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82" fillId="0" borderId="0"/>
    <xf numFmtId="0" fontId="8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16" fillId="41" borderId="20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0" fontId="23" fillId="46" borderId="14" applyNumberFormat="0" applyFon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6" fillId="0" borderId="0" applyNumberFormat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6" fillId="0" borderId="0" applyNumberFormat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50" fillId="54" borderId="11" applyNumberFormat="0" applyAlignment="0" applyProtection="0"/>
    <xf numFmtId="0" fontId="50" fillId="54" borderId="11" applyNumberFormat="0" applyAlignment="0" applyProtection="0"/>
    <xf numFmtId="0" fontId="33" fillId="78" borderId="22" applyNumberFormat="0" applyAlignment="0" applyProtection="0"/>
    <xf numFmtId="0" fontId="50" fillId="54" borderId="11" applyNumberFormat="0" applyAlignment="0" applyProtection="0"/>
    <xf numFmtId="0" fontId="50" fillId="54" borderId="11" applyNumberFormat="0" applyAlignment="0" applyProtection="0"/>
    <xf numFmtId="0" fontId="50" fillId="54" borderId="11" applyNumberFormat="0" applyAlignment="0" applyProtection="0"/>
    <xf numFmtId="0" fontId="50" fillId="54" borderId="11" applyNumberFormat="0" applyAlignment="0" applyProtection="0"/>
    <xf numFmtId="0" fontId="50" fillId="54" borderId="11" applyNumberFormat="0" applyAlignment="0" applyProtection="0"/>
    <xf numFmtId="0" fontId="50" fillId="54" borderId="11" applyNumberFormat="0" applyAlignment="0" applyProtection="0"/>
    <xf numFmtId="0" fontId="50" fillId="54" borderId="11" applyNumberFormat="0" applyAlignment="0" applyProtection="0"/>
    <xf numFmtId="0" fontId="50" fillId="54" borderId="11" applyNumberFormat="0" applyAlignment="0" applyProtection="0"/>
    <xf numFmtId="0" fontId="50" fillId="54" borderId="11" applyNumberFormat="0" applyAlignment="0" applyProtection="0"/>
    <xf numFmtId="0" fontId="50" fillId="54" borderId="11" applyNumberFormat="0" applyAlignment="0" applyProtection="0"/>
    <xf numFmtId="0" fontId="178" fillId="0" borderId="0" applyNumberFormat="0" applyFill="0" applyBorder="0" applyAlignment="0" applyProtection="0"/>
    <xf numFmtId="0" fontId="179" fillId="0" borderId="520" applyNumberFormat="0" applyFill="0" applyAlignment="0" applyProtection="0"/>
    <xf numFmtId="0" fontId="179" fillId="0" borderId="520" applyNumberFormat="0" applyFill="0" applyAlignment="0" applyProtection="0"/>
    <xf numFmtId="0" fontId="179" fillId="0" borderId="520" applyNumberFormat="0" applyFill="0" applyAlignment="0" applyProtection="0"/>
    <xf numFmtId="0" fontId="179" fillId="0" borderId="520" applyNumberFormat="0" applyFill="0" applyAlignment="0" applyProtection="0"/>
    <xf numFmtId="0" fontId="179" fillId="0" borderId="520" applyNumberFormat="0" applyFill="0" applyAlignment="0" applyProtection="0"/>
    <xf numFmtId="0" fontId="179" fillId="0" borderId="520" applyNumberFormat="0" applyFill="0" applyAlignment="0" applyProtection="0"/>
    <xf numFmtId="0" fontId="179" fillId="0" borderId="520" applyNumberFormat="0" applyFill="0" applyAlignment="0" applyProtection="0"/>
    <xf numFmtId="0" fontId="179" fillId="0" borderId="520" applyNumberFormat="0" applyFill="0" applyAlignment="0" applyProtection="0"/>
    <xf numFmtId="0" fontId="179" fillId="0" borderId="520" applyNumberFormat="0" applyFill="0" applyAlignment="0" applyProtection="0"/>
    <xf numFmtId="0" fontId="179" fillId="0" borderId="520" applyNumberFormat="0" applyFill="0" applyAlignment="0" applyProtection="0"/>
    <xf numFmtId="0" fontId="179" fillId="0" borderId="520" applyNumberFormat="0" applyFill="0" applyAlignment="0" applyProtection="0"/>
    <xf numFmtId="0" fontId="179" fillId="0" borderId="520" applyNumberFormat="0" applyFill="0" applyAlignment="0" applyProtection="0"/>
    <xf numFmtId="0" fontId="183" fillId="0" borderId="8" applyNumberFormat="0" applyFill="0" applyAlignment="0" applyProtection="0"/>
    <xf numFmtId="0" fontId="183" fillId="0" borderId="8" applyNumberFormat="0" applyFill="0" applyAlignment="0" applyProtection="0"/>
    <xf numFmtId="0" fontId="183" fillId="0" borderId="8" applyNumberFormat="0" applyFill="0" applyAlignment="0" applyProtection="0"/>
    <xf numFmtId="0" fontId="183" fillId="0" borderId="8" applyNumberFormat="0" applyFill="0" applyAlignment="0" applyProtection="0"/>
    <xf numFmtId="0" fontId="183" fillId="0" borderId="8" applyNumberFormat="0" applyFill="0" applyAlignment="0" applyProtection="0"/>
    <xf numFmtId="0" fontId="183" fillId="0" borderId="8" applyNumberFormat="0" applyFill="0" applyAlignment="0" applyProtection="0"/>
    <xf numFmtId="0" fontId="183" fillId="0" borderId="8" applyNumberFormat="0" applyFill="0" applyAlignment="0" applyProtection="0"/>
    <xf numFmtId="0" fontId="183" fillId="0" borderId="8" applyNumberFormat="0" applyFill="0" applyAlignment="0" applyProtection="0"/>
    <xf numFmtId="0" fontId="183" fillId="0" borderId="8" applyNumberFormat="0" applyFill="0" applyAlignment="0" applyProtection="0"/>
    <xf numFmtId="0" fontId="183" fillId="0" borderId="8" applyNumberFormat="0" applyFill="0" applyAlignment="0" applyProtection="0"/>
    <xf numFmtId="0" fontId="177" fillId="0" borderId="521" applyNumberFormat="0" applyFill="0" applyAlignment="0" applyProtection="0"/>
    <xf numFmtId="0" fontId="177" fillId="0" borderId="521" applyNumberFormat="0" applyFill="0" applyAlignment="0" applyProtection="0"/>
    <xf numFmtId="0" fontId="177" fillId="0" borderId="521" applyNumberFormat="0" applyFill="0" applyAlignment="0" applyProtection="0"/>
    <xf numFmtId="0" fontId="177" fillId="0" borderId="521" applyNumberFormat="0" applyFill="0" applyAlignment="0" applyProtection="0"/>
    <xf numFmtId="0" fontId="177" fillId="0" borderId="521" applyNumberFormat="0" applyFill="0" applyAlignment="0" applyProtection="0"/>
    <xf numFmtId="0" fontId="177" fillId="0" borderId="521" applyNumberFormat="0" applyFill="0" applyAlignment="0" applyProtection="0"/>
    <xf numFmtId="0" fontId="177" fillId="0" borderId="521" applyNumberFormat="0" applyFill="0" applyAlignment="0" applyProtection="0"/>
    <xf numFmtId="0" fontId="177" fillId="0" borderId="521" applyNumberFormat="0" applyFill="0" applyAlignment="0" applyProtection="0"/>
    <xf numFmtId="0" fontId="177" fillId="0" borderId="521" applyNumberFormat="0" applyFill="0" applyAlignment="0" applyProtection="0"/>
    <xf numFmtId="0" fontId="177" fillId="0" borderId="521" applyNumberFormat="0" applyFill="0" applyAlignment="0" applyProtection="0"/>
    <xf numFmtId="0" fontId="177" fillId="0" borderId="521" applyNumberFormat="0" applyFill="0" applyAlignment="0" applyProtection="0"/>
    <xf numFmtId="0" fontId="177" fillId="0" borderId="521" applyNumberFormat="0" applyFill="0" applyAlignment="0" applyProtection="0"/>
    <xf numFmtId="0" fontId="177" fillId="0" borderId="521" applyNumberFormat="0" applyFill="0" applyAlignment="0" applyProtection="0"/>
    <xf numFmtId="0" fontId="177" fillId="0" borderId="521" applyNumberFormat="0" applyFill="0" applyAlignment="0" applyProtection="0"/>
    <xf numFmtId="0" fontId="177" fillId="0" borderId="521" applyNumberFormat="0" applyFill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" fillId="0" borderId="522" applyNumberFormat="0" applyFill="0" applyAlignment="0" applyProtection="0"/>
    <xf numFmtId="0" fontId="17" fillId="0" borderId="522" applyNumberFormat="0" applyFill="0" applyAlignment="0" applyProtection="0"/>
    <xf numFmtId="0" fontId="17" fillId="0" borderId="522" applyNumberFormat="0" applyFill="0" applyAlignment="0" applyProtection="0"/>
    <xf numFmtId="0" fontId="17" fillId="0" borderId="522" applyNumberFormat="0" applyFill="0" applyAlignment="0" applyProtection="0"/>
    <xf numFmtId="0" fontId="17" fillId="0" borderId="522" applyNumberFormat="0" applyFill="0" applyAlignment="0" applyProtection="0"/>
    <xf numFmtId="0" fontId="17" fillId="0" borderId="522" applyNumberFormat="0" applyFill="0" applyAlignment="0" applyProtection="0"/>
    <xf numFmtId="0" fontId="17" fillId="0" borderId="522" applyNumberFormat="0" applyFill="0" applyAlignment="0" applyProtection="0"/>
    <xf numFmtId="0" fontId="17" fillId="0" borderId="522" applyNumberFormat="0" applyFill="0" applyAlignment="0" applyProtection="0"/>
    <xf numFmtId="0" fontId="17" fillId="0" borderId="522" applyNumberFormat="0" applyFill="0" applyAlignment="0" applyProtection="0"/>
    <xf numFmtId="0" fontId="17" fillId="0" borderId="522" applyNumberFormat="0" applyFill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9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8" fillId="51" borderId="0" applyNumberFormat="0" applyBorder="0" applyAlignment="0" applyProtection="0"/>
    <xf numFmtId="0" fontId="18" fillId="36" borderId="0" applyNumberFormat="0" applyBorder="0" applyAlignment="0" applyProtection="0"/>
    <xf numFmtId="0" fontId="18" fillId="53" borderId="0" applyNumberFormat="0" applyBorder="0" applyAlignment="0" applyProtection="0"/>
    <xf numFmtId="0" fontId="18" fillId="43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9" fillId="41" borderId="0" applyNumberFormat="0" applyBorder="0" applyAlignment="0" applyProtection="0"/>
    <xf numFmtId="0" fontId="178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2197">
    <xf numFmtId="0" fontId="0" fillId="0" borderId="0" xfId="0"/>
    <xf numFmtId="0" fontId="14" fillId="0" borderId="0" xfId="0" applyFont="1"/>
    <xf numFmtId="3" fontId="15" fillId="3" borderId="0" xfId="0" applyNumberFormat="1" applyFont="1" applyFill="1" applyBorder="1" applyAlignment="1">
      <alignment horizontal="right" vertical="center" indent="1"/>
    </xf>
    <xf numFmtId="0" fontId="10" fillId="0" borderId="0" xfId="0" applyFont="1"/>
    <xf numFmtId="3" fontId="10" fillId="0" borderId="0" xfId="0" applyNumberFormat="1" applyFont="1"/>
    <xf numFmtId="0" fontId="9" fillId="0" borderId="0" xfId="0" applyFont="1"/>
    <xf numFmtId="3" fontId="0" fillId="0" borderId="0" xfId="0" applyNumberFormat="1"/>
    <xf numFmtId="0" fontId="8" fillId="0" borderId="0" xfId="0" applyFont="1"/>
    <xf numFmtId="0" fontId="65" fillId="0" borderId="0" xfId="0" applyFont="1" applyAlignment="1">
      <alignment horizontal="justify" vertical="center"/>
    </xf>
    <xf numFmtId="0" fontId="68" fillId="0" borderId="0" xfId="0" applyFont="1"/>
    <xf numFmtId="0" fontId="57" fillId="0" borderId="0" xfId="227" applyNumberFormat="1" applyFont="1" applyFill="1" applyBorder="1" applyAlignment="1"/>
    <xf numFmtId="3" fontId="13" fillId="3" borderId="6" xfId="0" applyNumberFormat="1" applyFont="1" applyFill="1" applyBorder="1" applyAlignment="1">
      <alignment horizontal="center" vertical="center"/>
    </xf>
    <xf numFmtId="3" fontId="8" fillId="0" borderId="0" xfId="0" applyNumberFormat="1" applyFont="1"/>
    <xf numFmtId="3" fontId="70" fillId="3" borderId="0" xfId="0" applyNumberFormat="1" applyFont="1" applyFill="1" applyBorder="1" applyAlignment="1">
      <alignment horizontal="center" vertical="center"/>
    </xf>
    <xf numFmtId="0" fontId="75" fillId="0" borderId="0" xfId="0" applyFont="1"/>
    <xf numFmtId="169" fontId="0" fillId="0" borderId="0" xfId="1" applyNumberFormat="1" applyFont="1"/>
    <xf numFmtId="0" fontId="70" fillId="0" borderId="0" xfId="0" applyFont="1"/>
    <xf numFmtId="0" fontId="8" fillId="0" borderId="0" xfId="0" applyFont="1" applyAlignment="1">
      <alignment wrapText="1"/>
    </xf>
    <xf numFmtId="169" fontId="0" fillId="0" borderId="0" xfId="0" applyNumberFormat="1"/>
    <xf numFmtId="0" fontId="7" fillId="0" borderId="0" xfId="0" applyFont="1"/>
    <xf numFmtId="0" fontId="70" fillId="0" borderId="0" xfId="0" applyFont="1" applyAlignment="1"/>
    <xf numFmtId="0" fontId="80" fillId="0" borderId="0" xfId="0" applyFont="1"/>
    <xf numFmtId="0" fontId="70" fillId="0" borderId="0" xfId="0" applyFont="1" applyAlignment="1">
      <alignment horizontal="left" vertical="center" indent="1"/>
    </xf>
    <xf numFmtId="3" fontId="70" fillId="3" borderId="0" xfId="0" applyNumberFormat="1" applyFont="1" applyFill="1" applyAlignment="1">
      <alignment horizontal="right" vertical="center" indent="3"/>
    </xf>
    <xf numFmtId="0" fontId="81" fillId="0" borderId="0" xfId="0" applyFont="1" applyAlignment="1"/>
    <xf numFmtId="169" fontId="7" fillId="0" borderId="0" xfId="1" applyNumberFormat="1" applyFont="1"/>
    <xf numFmtId="3" fontId="7" fillId="0" borderId="0" xfId="0" applyNumberFormat="1" applyFont="1"/>
    <xf numFmtId="0" fontId="6" fillId="0" borderId="0" xfId="0" applyFont="1"/>
    <xf numFmtId="0" fontId="77" fillId="0" borderId="0" xfId="0" applyFont="1" applyAlignment="1">
      <alignment horizontal="left" vertical="center"/>
    </xf>
    <xf numFmtId="0" fontId="67" fillId="0" borderId="0" xfId="0" applyFont="1"/>
    <xf numFmtId="169" fontId="73" fillId="2" borderId="6" xfId="1" applyNumberFormat="1" applyFont="1" applyFill="1" applyBorder="1" applyAlignment="1">
      <alignment horizontal="center" vertical="center"/>
    </xf>
    <xf numFmtId="3" fontId="73" fillId="2" borderId="44" xfId="0" applyNumberFormat="1" applyFont="1" applyFill="1" applyBorder="1" applyAlignment="1">
      <alignment horizontal="center" vertical="center"/>
    </xf>
    <xf numFmtId="169" fontId="73" fillId="61" borderId="6" xfId="1" applyNumberFormat="1" applyFont="1" applyFill="1" applyBorder="1" applyAlignment="1">
      <alignment horizontal="center" vertical="center"/>
    </xf>
    <xf numFmtId="3" fontId="73" fillId="61" borderId="44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/>
    <xf numFmtId="0" fontId="16" fillId="0" borderId="0" xfId="0" applyFont="1"/>
    <xf numFmtId="169" fontId="16" fillId="0" borderId="0" xfId="0" applyNumberFormat="1" applyFont="1" applyFill="1" applyBorder="1" applyAlignment="1"/>
    <xf numFmtId="169" fontId="16" fillId="3" borderId="0" xfId="0" applyNumberFormat="1" applyFont="1" applyFill="1" applyBorder="1" applyAlignment="1"/>
    <xf numFmtId="0" fontId="85" fillId="0" borderId="0" xfId="0" applyNumberFormat="1" applyFont="1" applyFill="1" applyBorder="1" applyAlignment="1" applyProtection="1">
      <alignment horizontal="left" vertical="top" wrapText="1"/>
    </xf>
    <xf numFmtId="0" fontId="85" fillId="0" borderId="0" xfId="0" applyNumberFormat="1" applyFont="1" applyFill="1" applyBorder="1" applyAlignment="1" applyProtection="1">
      <alignment vertical="top" wrapText="1"/>
    </xf>
    <xf numFmtId="14" fontId="16" fillId="0" borderId="0" xfId="0" applyNumberFormat="1" applyFont="1" applyFill="1" applyBorder="1" applyAlignment="1"/>
    <xf numFmtId="169" fontId="77" fillId="3" borderId="0" xfId="0" applyNumberFormat="1" applyFont="1" applyFill="1" applyBorder="1" applyAlignment="1" applyProtection="1">
      <alignment horizontal="center" vertical="center" wrapText="1"/>
    </xf>
    <xf numFmtId="0" fontId="16" fillId="3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169" fontId="16" fillId="0" borderId="0" xfId="0" applyNumberFormat="1" applyFont="1" applyFill="1" applyBorder="1" applyAlignment="1">
      <alignment vertical="center"/>
    </xf>
    <xf numFmtId="169" fontId="16" fillId="3" borderId="0" xfId="0" applyNumberFormat="1" applyFont="1" applyFill="1" applyBorder="1" applyAlignment="1">
      <alignment vertical="center"/>
    </xf>
    <xf numFmtId="3" fontId="16" fillId="3" borderId="0" xfId="0" applyNumberFormat="1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0" fontId="16" fillId="0" borderId="0" xfId="0" applyFont="1" applyAlignment="1">
      <alignment horizontal="left" vertical="center" indent="1"/>
    </xf>
    <xf numFmtId="0" fontId="85" fillId="0" borderId="0" xfId="0" applyNumberFormat="1" applyFont="1" applyFill="1" applyBorder="1" applyAlignment="1" applyProtection="1">
      <alignment horizontal="left" vertical="center" wrapText="1" indent="1"/>
    </xf>
    <xf numFmtId="0" fontId="16" fillId="0" borderId="0" xfId="0" applyNumberFormat="1" applyFont="1" applyFill="1" applyBorder="1" applyAlignment="1">
      <alignment horizontal="left" vertical="center" indent="1"/>
    </xf>
    <xf numFmtId="0" fontId="86" fillId="0" borderId="0" xfId="0" applyFont="1"/>
    <xf numFmtId="0" fontId="0" fillId="0" borderId="0" xfId="0" applyAlignment="1">
      <alignment wrapText="1"/>
    </xf>
    <xf numFmtId="0" fontId="16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9" fillId="0" borderId="0" xfId="0" applyNumberFormat="1" applyFont="1"/>
    <xf numFmtId="169" fontId="16" fillId="0" borderId="0" xfId="1" applyNumberFormat="1" applyFont="1" applyFill="1" applyBorder="1" applyAlignment="1"/>
    <xf numFmtId="0" fontId="71" fillId="0" borderId="0" xfId="0" applyFont="1" applyAlignment="1"/>
    <xf numFmtId="3" fontId="70" fillId="0" borderId="0" xfId="0" applyNumberFormat="1" applyFont="1"/>
    <xf numFmtId="0" fontId="57" fillId="0" borderId="0" xfId="0" applyFont="1"/>
    <xf numFmtId="9" fontId="16" fillId="0" borderId="0" xfId="1" applyFont="1" applyFill="1" applyBorder="1" applyAlignment="1"/>
    <xf numFmtId="169" fontId="95" fillId="0" borderId="0" xfId="0" applyNumberFormat="1" applyFont="1" applyFill="1" applyBorder="1" applyAlignment="1"/>
    <xf numFmtId="0" fontId="88" fillId="0" borderId="0" xfId="0" applyFont="1"/>
    <xf numFmtId="0" fontId="98" fillId="0" borderId="0" xfId="0" applyFont="1"/>
    <xf numFmtId="3" fontId="57" fillId="0" borderId="0" xfId="0" applyNumberFormat="1" applyFont="1"/>
    <xf numFmtId="169" fontId="105" fillId="3" borderId="0" xfId="1" applyNumberFormat="1" applyFont="1" applyFill="1" applyBorder="1" applyAlignment="1">
      <alignment horizontal="right" vertical="center" indent="1"/>
    </xf>
    <xf numFmtId="169" fontId="104" fillId="3" borderId="0" xfId="1" applyNumberFormat="1" applyFont="1" applyFill="1" applyBorder="1" applyAlignment="1">
      <alignment horizontal="right" vertical="center" indent="1"/>
    </xf>
    <xf numFmtId="0" fontId="95" fillId="0" borderId="0" xfId="0" applyNumberFormat="1" applyFont="1" applyFill="1" applyBorder="1" applyAlignment="1"/>
    <xf numFmtId="0" fontId="5" fillId="0" borderId="0" xfId="0" applyFont="1"/>
    <xf numFmtId="0" fontId="4" fillId="0" borderId="0" xfId="0" applyFont="1"/>
    <xf numFmtId="169" fontId="4" fillId="0" borderId="0" xfId="1" applyNumberFormat="1" applyFont="1"/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 indent="1"/>
    </xf>
    <xf numFmtId="169" fontId="4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vertical="center"/>
    </xf>
    <xf numFmtId="0" fontId="98" fillId="0" borderId="0" xfId="0" applyFont="1" applyAlignment="1"/>
    <xf numFmtId="0" fontId="3" fillId="0" borderId="0" xfId="0" applyFont="1"/>
    <xf numFmtId="0" fontId="111" fillId="0" borderId="37" xfId="0" applyFont="1" applyBorder="1" applyAlignment="1">
      <alignment horizontal="left" vertical="center" indent="1"/>
    </xf>
    <xf numFmtId="3" fontId="111" fillId="0" borderId="38" xfId="0" applyNumberFormat="1" applyFont="1" applyBorder="1" applyAlignment="1">
      <alignment horizontal="right" vertical="center" indent="2"/>
    </xf>
    <xf numFmtId="169" fontId="111" fillId="0" borderId="38" xfId="1" applyNumberFormat="1" applyFont="1" applyBorder="1" applyAlignment="1">
      <alignment horizontal="right" vertical="center" indent="2"/>
    </xf>
    <xf numFmtId="169" fontId="111" fillId="0" borderId="97" xfId="1" applyNumberFormat="1" applyFont="1" applyBorder="1" applyAlignment="1">
      <alignment horizontal="right" vertical="center" indent="2"/>
    </xf>
    <xf numFmtId="0" fontId="111" fillId="0" borderId="37" xfId="0" applyFont="1" applyBorder="1" applyAlignment="1">
      <alignment horizontal="left" vertical="center" wrapText="1" indent="1"/>
    </xf>
    <xf numFmtId="0" fontId="99" fillId="3" borderId="64" xfId="0" applyFont="1" applyFill="1" applyBorder="1" applyAlignment="1">
      <alignment horizontal="left" vertical="center" wrapText="1" indent="1"/>
    </xf>
    <xf numFmtId="0" fontId="115" fillId="86" borderId="126" xfId="0" applyFont="1" applyFill="1" applyBorder="1" applyAlignment="1">
      <alignment wrapText="1"/>
    </xf>
    <xf numFmtId="0" fontId="117" fillId="88" borderId="131" xfId="0" applyFont="1" applyFill="1" applyBorder="1" applyAlignment="1">
      <alignment horizontal="center" vertical="center"/>
    </xf>
    <xf numFmtId="0" fontId="118" fillId="91" borderId="143" xfId="0" applyFont="1" applyFill="1" applyBorder="1" applyAlignment="1">
      <alignment horizontal="left"/>
    </xf>
    <xf numFmtId="0" fontId="118" fillId="91" borderId="144" xfId="0" applyFont="1" applyFill="1" applyBorder="1" applyAlignment="1">
      <alignment horizontal="center"/>
    </xf>
    <xf numFmtId="186" fontId="115" fillId="92" borderId="147" xfId="0" applyNumberFormat="1" applyFont="1" applyFill="1" applyBorder="1" applyAlignment="1">
      <alignment horizontal="right"/>
    </xf>
    <xf numFmtId="186" fontId="115" fillId="92" borderId="152" xfId="0" applyNumberFormat="1" applyFont="1" applyFill="1" applyBorder="1" applyAlignment="1">
      <alignment horizontal="right"/>
    </xf>
    <xf numFmtId="0" fontId="114" fillId="0" borderId="0" xfId="0" applyFont="1" applyAlignment="1">
      <alignment vertical="center"/>
    </xf>
    <xf numFmtId="0" fontId="115" fillId="0" borderId="0" xfId="0" applyFont="1" applyAlignment="1">
      <alignment horizontal="right" vertical="center" wrapText="1"/>
    </xf>
    <xf numFmtId="0" fontId="114" fillId="0" borderId="0" xfId="0" applyFont="1" applyAlignment="1"/>
    <xf numFmtId="0" fontId="115" fillId="0" borderId="0" xfId="0" applyFont="1" applyAlignment="1">
      <alignment horizontal="right" wrapText="1"/>
    </xf>
    <xf numFmtId="0" fontId="115" fillId="0" borderId="0" xfId="0" applyFont="1" applyAlignment="1"/>
    <xf numFmtId="186" fontId="114" fillId="0" borderId="0" xfId="0" applyNumberFormat="1" applyFont="1" applyAlignment="1"/>
    <xf numFmtId="0" fontId="115" fillId="0" borderId="148" xfId="0" applyFont="1" applyBorder="1" applyAlignment="1"/>
    <xf numFmtId="0" fontId="110" fillId="0" borderId="148" xfId="0" applyFont="1" applyBorder="1" applyAlignment="1">
      <alignment horizontal="right"/>
    </xf>
    <xf numFmtId="169" fontId="115" fillId="0" borderId="151" xfId="0" applyNumberFormat="1" applyFont="1" applyBorder="1" applyAlignment="1">
      <alignment horizontal="right"/>
    </xf>
    <xf numFmtId="0" fontId="110" fillId="0" borderId="0" xfId="0" applyFont="1" applyAlignment="1"/>
    <xf numFmtId="0" fontId="115" fillId="0" borderId="0" xfId="0" applyFont="1" applyAlignment="1">
      <alignment horizontal="right"/>
    </xf>
    <xf numFmtId="0" fontId="119" fillId="0" borderId="0" xfId="0" applyFont="1" applyAlignment="1"/>
    <xf numFmtId="9" fontId="110" fillId="0" borderId="0" xfId="0" applyNumberFormat="1" applyFont="1" applyAlignment="1"/>
    <xf numFmtId="3" fontId="3" fillId="0" borderId="0" xfId="0" applyNumberFormat="1" applyFont="1"/>
    <xf numFmtId="0" fontId="77" fillId="0" borderId="0" xfId="227" applyFont="1"/>
    <xf numFmtId="169" fontId="3" fillId="0" borderId="0" xfId="1" applyNumberFormat="1" applyFont="1"/>
    <xf numFmtId="0" fontId="3" fillId="0" borderId="93" xfId="0" applyFont="1" applyBorder="1"/>
    <xf numFmtId="0" fontId="3" fillId="0" borderId="94" xfId="0" applyFont="1" applyBorder="1"/>
    <xf numFmtId="0" fontId="125" fillId="0" borderId="0" xfId="0" applyFont="1" applyAlignment="1">
      <alignment horizontal="center" vertical="center" wrapText="1"/>
    </xf>
    <xf numFmtId="0" fontId="126" fillId="0" borderId="0" xfId="0" applyFont="1" applyAlignment="1"/>
    <xf numFmtId="0" fontId="129" fillId="88" borderId="131" xfId="0" applyFont="1" applyFill="1" applyBorder="1" applyAlignment="1">
      <alignment wrapText="1"/>
    </xf>
    <xf numFmtId="186" fontId="126" fillId="0" borderId="0" xfId="0" applyNumberFormat="1" applyFont="1" applyAlignment="1"/>
    <xf numFmtId="0" fontId="132" fillId="88" borderId="0" xfId="0" applyFont="1" applyFill="1" applyAlignment="1">
      <alignment wrapText="1"/>
    </xf>
    <xf numFmtId="0" fontId="128" fillId="91" borderId="145" xfId="0" applyFont="1" applyFill="1" applyBorder="1" applyAlignment="1">
      <alignment horizontal="center"/>
    </xf>
    <xf numFmtId="0" fontId="128" fillId="91" borderId="146" xfId="0" applyFont="1" applyFill="1" applyBorder="1" applyAlignment="1">
      <alignment horizontal="center"/>
    </xf>
    <xf numFmtId="0" fontId="107" fillId="0" borderId="0" xfId="0" applyFont="1"/>
    <xf numFmtId="0" fontId="133" fillId="0" borderId="0" xfId="0" applyFont="1"/>
    <xf numFmtId="169" fontId="74" fillId="3" borderId="0" xfId="0" applyNumberFormat="1" applyFont="1" applyFill="1" applyBorder="1" applyAlignment="1" applyProtection="1">
      <alignment horizontal="center" vertical="center" wrapText="1"/>
    </xf>
    <xf numFmtId="0" fontId="74" fillId="0" borderId="0" xfId="0" applyNumberFormat="1" applyFont="1" applyFill="1" applyBorder="1" applyAlignment="1"/>
    <xf numFmtId="0" fontId="133" fillId="0" borderId="0" xfId="0" applyFont="1" applyAlignment="1">
      <alignment wrapText="1"/>
    </xf>
    <xf numFmtId="0" fontId="74" fillId="0" borderId="0" xfId="0" applyFont="1" applyAlignment="1"/>
    <xf numFmtId="3" fontId="133" fillId="0" borderId="0" xfId="0" applyNumberFormat="1" applyFont="1"/>
    <xf numFmtId="169" fontId="133" fillId="0" borderId="0" xfId="0" applyNumberFormat="1" applyFont="1"/>
    <xf numFmtId="3" fontId="107" fillId="0" borderId="0" xfId="0" applyNumberFormat="1" applyFont="1"/>
    <xf numFmtId="169" fontId="107" fillId="0" borderId="0" xfId="0" applyNumberFormat="1" applyFont="1"/>
    <xf numFmtId="185" fontId="16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23" fillId="0" borderId="0" xfId="0" applyFont="1" applyAlignment="1">
      <alignment horizontal="center" vertical="center"/>
    </xf>
    <xf numFmtId="0" fontId="57" fillId="3" borderId="31" xfId="0" applyFont="1" applyFill="1" applyBorder="1" applyAlignment="1">
      <alignment horizontal="left" vertical="center" indent="1"/>
    </xf>
    <xf numFmtId="3" fontId="57" fillId="3" borderId="31" xfId="0" applyNumberFormat="1" applyFont="1" applyFill="1" applyBorder="1" applyAlignment="1">
      <alignment horizontal="right" vertical="center" indent="2"/>
    </xf>
    <xf numFmtId="0" fontId="13" fillId="97" borderId="43" xfId="0" applyFont="1" applyFill="1" applyBorder="1" applyAlignment="1">
      <alignment horizontal="left" vertical="center" indent="1"/>
    </xf>
    <xf numFmtId="3" fontId="13" fillId="97" borderId="6" xfId="0" applyNumberFormat="1" applyFont="1" applyFill="1" applyBorder="1" applyAlignment="1">
      <alignment horizontal="center" vertical="center"/>
    </xf>
    <xf numFmtId="0" fontId="13" fillId="0" borderId="43" xfId="0" applyFont="1" applyBorder="1" applyAlignment="1">
      <alignment horizontal="left" vertical="center" indent="1"/>
    </xf>
    <xf numFmtId="0" fontId="55" fillId="0" borderId="176" xfId="0" applyFont="1" applyBorder="1" applyAlignment="1">
      <alignment horizontal="left" vertical="center" wrapText="1" indent="1" readingOrder="1"/>
    </xf>
    <xf numFmtId="49" fontId="55" fillId="0" borderId="177" xfId="0" applyNumberFormat="1" applyFont="1" applyBorder="1" applyAlignment="1">
      <alignment horizontal="center" vertical="center" wrapText="1" readingOrder="1"/>
    </xf>
    <xf numFmtId="3" fontId="57" fillId="0" borderId="177" xfId="227" applyNumberFormat="1" applyFont="1" applyFill="1" applyBorder="1" applyAlignment="1">
      <alignment horizontal="right" vertical="center" indent="2"/>
    </xf>
    <xf numFmtId="169" fontId="57" fillId="0" borderId="177" xfId="1" applyNumberFormat="1" applyFont="1" applyFill="1" applyBorder="1" applyAlignment="1">
      <alignment horizontal="right" vertical="center" indent="2"/>
    </xf>
    <xf numFmtId="169" fontId="57" fillId="0" borderId="178" xfId="1" applyNumberFormat="1" applyFont="1" applyFill="1" applyBorder="1" applyAlignment="1">
      <alignment horizontal="right" vertical="center" indent="2"/>
    </xf>
    <xf numFmtId="169" fontId="57" fillId="0" borderId="179" xfId="1" applyNumberFormat="1" applyFont="1" applyFill="1" applyBorder="1" applyAlignment="1">
      <alignment horizontal="right" vertical="center" indent="2"/>
    </xf>
    <xf numFmtId="0" fontId="55" fillId="97" borderId="180" xfId="0" applyFont="1" applyFill="1" applyBorder="1" applyAlignment="1">
      <alignment horizontal="left" vertical="center" wrapText="1" indent="1" readingOrder="1"/>
    </xf>
    <xf numFmtId="49" fontId="55" fillId="97" borderId="160" xfId="0" applyNumberFormat="1" applyFont="1" applyFill="1" applyBorder="1" applyAlignment="1">
      <alignment horizontal="center" vertical="center" wrapText="1" readingOrder="1"/>
    </xf>
    <xf numFmtId="3" fontId="57" fillId="97" borderId="160" xfId="227" applyNumberFormat="1" applyFont="1" applyFill="1" applyBorder="1" applyAlignment="1">
      <alignment horizontal="right" vertical="center" indent="2"/>
    </xf>
    <xf numFmtId="169" fontId="57" fillId="97" borderId="160" xfId="1" applyNumberFormat="1" applyFont="1" applyFill="1" applyBorder="1" applyAlignment="1">
      <alignment horizontal="right" vertical="center" indent="2"/>
    </xf>
    <xf numFmtId="169" fontId="57" fillId="97" borderId="181" xfId="1" applyNumberFormat="1" applyFont="1" applyFill="1" applyBorder="1" applyAlignment="1">
      <alignment horizontal="right" vertical="center" indent="2"/>
    </xf>
    <xf numFmtId="169" fontId="57" fillId="97" borderId="182" xfId="1" applyNumberFormat="1" applyFont="1" applyFill="1" applyBorder="1" applyAlignment="1">
      <alignment horizontal="right" vertical="center" indent="2"/>
    </xf>
    <xf numFmtId="0" fontId="55" fillId="0" borderId="183" xfId="0" applyFont="1" applyBorder="1" applyAlignment="1">
      <alignment horizontal="left" vertical="center" wrapText="1" indent="1" readingOrder="1"/>
    </xf>
    <xf numFmtId="49" fontId="55" fillId="0" borderId="184" xfId="0" applyNumberFormat="1" applyFont="1" applyBorder="1" applyAlignment="1">
      <alignment horizontal="center" vertical="center" wrapText="1" readingOrder="1"/>
    </xf>
    <xf numFmtId="3" fontId="57" fillId="0" borderId="184" xfId="227" applyNumberFormat="1" applyFont="1" applyFill="1" applyBorder="1" applyAlignment="1">
      <alignment horizontal="right" vertical="center" indent="2"/>
    </xf>
    <xf numFmtId="169" fontId="57" fillId="0" borderId="184" xfId="1" applyNumberFormat="1" applyFont="1" applyFill="1" applyBorder="1" applyAlignment="1">
      <alignment horizontal="right" vertical="center" indent="2"/>
    </xf>
    <xf numFmtId="169" fontId="57" fillId="0" borderId="185" xfId="1" applyNumberFormat="1" applyFont="1" applyFill="1" applyBorder="1" applyAlignment="1">
      <alignment horizontal="right" vertical="center" indent="2"/>
    </xf>
    <xf numFmtId="169" fontId="57" fillId="0" borderId="186" xfId="1" applyNumberFormat="1" applyFont="1" applyFill="1" applyBorder="1" applyAlignment="1">
      <alignment horizontal="right" vertical="center" indent="2"/>
    </xf>
    <xf numFmtId="0" fontId="56" fillId="100" borderId="90" xfId="0" applyFont="1" applyFill="1" applyBorder="1" applyAlignment="1">
      <alignment horizontal="center" vertical="center"/>
    </xf>
    <xf numFmtId="0" fontId="13" fillId="2" borderId="188" xfId="0" applyFont="1" applyFill="1" applyBorder="1" applyAlignment="1">
      <alignment horizontal="left" vertical="center" indent="1"/>
    </xf>
    <xf numFmtId="0" fontId="13" fillId="97" borderId="171" xfId="0" applyFont="1" applyFill="1" applyBorder="1" applyAlignment="1">
      <alignment horizontal="left" vertical="center" indent="1"/>
    </xf>
    <xf numFmtId="0" fontId="13" fillId="2" borderId="171" xfId="0" applyFont="1" applyFill="1" applyBorder="1" applyAlignment="1">
      <alignment horizontal="left" vertical="center" indent="1"/>
    </xf>
    <xf numFmtId="0" fontId="13" fillId="97" borderId="192" xfId="0" applyFont="1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97" fillId="0" borderId="0" xfId="0" applyFont="1" applyAlignment="1">
      <alignment horizontal="center"/>
    </xf>
    <xf numFmtId="3" fontId="134" fillId="0" borderId="31" xfId="0" applyNumberFormat="1" applyFont="1" applyBorder="1" applyAlignment="1">
      <alignment horizontal="center" vertical="center"/>
    </xf>
    <xf numFmtId="3" fontId="134" fillId="0" borderId="31" xfId="0" applyNumberFormat="1" applyFont="1" applyBorder="1" applyAlignment="1">
      <alignment horizontal="right" vertical="center" indent="3"/>
    </xf>
    <xf numFmtId="169" fontId="2" fillId="0" borderId="0" xfId="1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3" fontId="64" fillId="0" borderId="180" xfId="0" applyNumberFormat="1" applyFont="1" applyBorder="1" applyAlignment="1">
      <alignment horizontal="left" vertical="center" indent="1"/>
    </xf>
    <xf numFmtId="3" fontId="64" fillId="0" borderId="160" xfId="0" applyNumberFormat="1" applyFont="1" applyBorder="1" applyAlignment="1">
      <alignment horizontal="right" vertical="center" indent="1"/>
    </xf>
    <xf numFmtId="169" fontId="64" fillId="0" borderId="165" xfId="1" applyNumberFormat="1" applyFont="1" applyBorder="1" applyAlignment="1">
      <alignment horizontal="right" vertical="center" indent="1"/>
    </xf>
    <xf numFmtId="0" fontId="2" fillId="0" borderId="0" xfId="0" applyFont="1"/>
    <xf numFmtId="3" fontId="64" fillId="97" borderId="112" xfId="0" applyNumberFormat="1" applyFont="1" applyFill="1" applyBorder="1" applyAlignment="1">
      <alignment horizontal="right" vertical="center" indent="1"/>
    </xf>
    <xf numFmtId="0" fontId="64" fillId="0" borderId="180" xfId="0" applyFont="1" applyBorder="1" applyAlignment="1">
      <alignment horizontal="left" vertical="center" indent="1"/>
    </xf>
    <xf numFmtId="0" fontId="64" fillId="97" borderId="180" xfId="0" applyFont="1" applyFill="1" applyBorder="1" applyAlignment="1">
      <alignment horizontal="left" vertical="center" indent="1"/>
    </xf>
    <xf numFmtId="169" fontId="98" fillId="0" borderId="0" xfId="1" applyNumberFormat="1" applyFont="1" applyAlignment="1"/>
    <xf numFmtId="169" fontId="2" fillId="0" borderId="0" xfId="1" applyNumberFormat="1" applyFont="1"/>
    <xf numFmtId="10" fontId="2" fillId="0" borderId="0" xfId="1" applyNumberFormat="1" applyFont="1"/>
    <xf numFmtId="0" fontId="105" fillId="3" borderId="71" xfId="0" applyNumberFormat="1" applyFont="1" applyFill="1" applyBorder="1" applyAlignment="1" applyProtection="1">
      <alignment horizontal="left" vertical="center" wrapText="1" indent="1"/>
    </xf>
    <xf numFmtId="0" fontId="105" fillId="97" borderId="43" xfId="0" applyNumberFormat="1" applyFont="1" applyFill="1" applyBorder="1" applyAlignment="1" applyProtection="1">
      <alignment horizontal="left" vertical="center" wrapText="1" indent="1"/>
    </xf>
    <xf numFmtId="0" fontId="105" fillId="3" borderId="43" xfId="0" applyNumberFormat="1" applyFont="1" applyFill="1" applyBorder="1" applyAlignment="1" applyProtection="1">
      <alignment horizontal="left" vertical="center" wrapText="1" indent="1"/>
    </xf>
    <xf numFmtId="0" fontId="135" fillId="3" borderId="71" xfId="0" applyNumberFormat="1" applyFont="1" applyFill="1" applyBorder="1" applyAlignment="1" applyProtection="1">
      <alignment horizontal="left" vertical="center" wrapText="1" indent="1"/>
    </xf>
    <xf numFmtId="169" fontId="135" fillId="3" borderId="31" xfId="1" applyNumberFormat="1" applyFont="1" applyFill="1" applyBorder="1" applyAlignment="1">
      <alignment horizontal="right" vertical="center" indent="1"/>
    </xf>
    <xf numFmtId="169" fontId="135" fillId="3" borderId="72" xfId="1" applyNumberFormat="1" applyFont="1" applyFill="1" applyBorder="1" applyAlignment="1">
      <alignment horizontal="right" vertical="center" indent="1"/>
    </xf>
    <xf numFmtId="0" fontId="135" fillId="97" borderId="43" xfId="0" applyNumberFormat="1" applyFont="1" applyFill="1" applyBorder="1" applyAlignment="1" applyProtection="1">
      <alignment horizontal="left" vertical="center" wrapText="1" indent="1"/>
    </xf>
    <xf numFmtId="169" fontId="135" fillId="97" borderId="6" xfId="1" applyNumberFormat="1" applyFont="1" applyFill="1" applyBorder="1" applyAlignment="1">
      <alignment horizontal="right" vertical="center" indent="1"/>
    </xf>
    <xf numFmtId="169" fontId="135" fillId="97" borderId="44" xfId="1" applyNumberFormat="1" applyFont="1" applyFill="1" applyBorder="1" applyAlignment="1">
      <alignment horizontal="right" vertical="center" indent="1"/>
    </xf>
    <xf numFmtId="0" fontId="135" fillId="3" borderId="43" xfId="0" applyNumberFormat="1" applyFont="1" applyFill="1" applyBorder="1" applyAlignment="1" applyProtection="1">
      <alignment horizontal="left" vertical="center" wrapText="1" indent="1"/>
    </xf>
    <xf numFmtId="169" fontId="135" fillId="3" borderId="6" xfId="1" applyNumberFormat="1" applyFont="1" applyFill="1" applyBorder="1" applyAlignment="1">
      <alignment horizontal="right" vertical="center" indent="1"/>
    </xf>
    <xf numFmtId="169" fontId="135" fillId="3" borderId="44" xfId="1" applyNumberFormat="1" applyFont="1" applyFill="1" applyBorder="1" applyAlignment="1">
      <alignment horizontal="right" vertical="center" indent="1"/>
    </xf>
    <xf numFmtId="3" fontId="105" fillId="3" borderId="31" xfId="0" applyNumberFormat="1" applyFont="1" applyFill="1" applyBorder="1" applyAlignment="1">
      <alignment horizontal="right" vertical="center" indent="1"/>
    </xf>
    <xf numFmtId="169" fontId="105" fillId="3" borderId="72" xfId="0" applyNumberFormat="1" applyFont="1" applyFill="1" applyBorder="1" applyAlignment="1">
      <alignment horizontal="right" vertical="center" indent="1"/>
    </xf>
    <xf numFmtId="3" fontId="105" fillId="97" borderId="6" xfId="0" applyNumberFormat="1" applyFont="1" applyFill="1" applyBorder="1" applyAlignment="1">
      <alignment horizontal="right" vertical="center" indent="1"/>
    </xf>
    <xf numFmtId="169" fontId="105" fillId="97" borderId="44" xfId="0" applyNumberFormat="1" applyFont="1" applyFill="1" applyBorder="1" applyAlignment="1">
      <alignment horizontal="right" vertical="center" indent="1"/>
    </xf>
    <xf numFmtId="3" fontId="105" fillId="3" borderId="6" xfId="0" applyNumberFormat="1" applyFont="1" applyFill="1" applyBorder="1" applyAlignment="1">
      <alignment horizontal="right" vertical="center" indent="1"/>
    </xf>
    <xf numFmtId="169" fontId="105" fillId="3" borderId="44" xfId="0" applyNumberFormat="1" applyFont="1" applyFill="1" applyBorder="1" applyAlignment="1">
      <alignment horizontal="right" vertical="center" indent="1"/>
    </xf>
    <xf numFmtId="3" fontId="135" fillId="3" borderId="31" xfId="0" applyNumberFormat="1" applyFont="1" applyFill="1" applyBorder="1" applyAlignment="1">
      <alignment horizontal="right" vertical="center" indent="1"/>
    </xf>
    <xf numFmtId="169" fontId="135" fillId="3" borderId="72" xfId="0" applyNumberFormat="1" applyFont="1" applyFill="1" applyBorder="1" applyAlignment="1">
      <alignment horizontal="right" vertical="center" indent="1"/>
    </xf>
    <xf numFmtId="3" fontId="135" fillId="97" borderId="6" xfId="0" applyNumberFormat="1" applyFont="1" applyFill="1" applyBorder="1" applyAlignment="1">
      <alignment horizontal="right" vertical="center" indent="1"/>
    </xf>
    <xf numFmtId="169" fontId="135" fillId="97" borderId="44" xfId="0" applyNumberFormat="1" applyFont="1" applyFill="1" applyBorder="1" applyAlignment="1">
      <alignment horizontal="right" vertical="center" indent="1"/>
    </xf>
    <xf numFmtId="3" fontId="135" fillId="3" borderId="6" xfId="0" applyNumberFormat="1" applyFont="1" applyFill="1" applyBorder="1" applyAlignment="1">
      <alignment horizontal="right" vertical="center" indent="1"/>
    </xf>
    <xf numFmtId="169" fontId="135" fillId="3" borderId="44" xfId="0" applyNumberFormat="1" applyFont="1" applyFill="1" applyBorder="1" applyAlignment="1">
      <alignment horizontal="right" vertical="center" indent="1"/>
    </xf>
    <xf numFmtId="3" fontId="105" fillId="94" borderId="6" xfId="0" applyNumberFormat="1" applyFont="1" applyFill="1" applyBorder="1" applyAlignment="1">
      <alignment horizontal="right" vertical="center" indent="1"/>
    </xf>
    <xf numFmtId="169" fontId="105" fillId="94" borderId="44" xfId="0" applyNumberFormat="1" applyFont="1" applyFill="1" applyBorder="1" applyAlignment="1">
      <alignment horizontal="right" vertical="center" indent="1"/>
    </xf>
    <xf numFmtId="0" fontId="62" fillId="0" borderId="0" xfId="0" applyFont="1"/>
    <xf numFmtId="0" fontId="76" fillId="0" borderId="267" xfId="0" applyFont="1" applyBorder="1" applyAlignment="1">
      <alignment horizontal="left" vertical="center" wrapText="1" indent="1" readingOrder="1"/>
    </xf>
    <xf numFmtId="0" fontId="76" fillId="97" borderId="269" xfId="0" applyFont="1" applyFill="1" applyBorder="1" applyAlignment="1">
      <alignment horizontal="left" vertical="center" wrapText="1" indent="1" readingOrder="1"/>
    </xf>
    <xf numFmtId="0" fontId="76" fillId="0" borderId="269" xfId="0" applyFont="1" applyBorder="1" applyAlignment="1">
      <alignment horizontal="left" vertical="center" wrapText="1" indent="1" readingOrder="1"/>
    </xf>
    <xf numFmtId="0" fontId="76" fillId="101" borderId="269" xfId="0" applyFont="1" applyFill="1" applyBorder="1" applyAlignment="1">
      <alignment horizontal="left" vertical="center" wrapText="1" indent="1" readingOrder="1"/>
    </xf>
    <xf numFmtId="0" fontId="59" fillId="4" borderId="274" xfId="0" applyFont="1" applyFill="1" applyBorder="1" applyAlignment="1">
      <alignment horizontal="left" vertical="center" wrapText="1" indent="1" readingOrder="1"/>
    </xf>
    <xf numFmtId="0" fontId="62" fillId="0" borderId="288" xfId="0" applyFont="1" applyBorder="1" applyAlignment="1">
      <alignment horizontal="left" vertical="center" indent="1"/>
    </xf>
    <xf numFmtId="0" fontId="62" fillId="97" borderId="291" xfId="0" applyFont="1" applyFill="1" applyBorder="1" applyAlignment="1">
      <alignment horizontal="left" vertical="center" indent="1"/>
    </xf>
    <xf numFmtId="0" fontId="62" fillId="0" borderId="291" xfId="0" applyFont="1" applyBorder="1" applyAlignment="1">
      <alignment horizontal="left" vertical="center" indent="1"/>
    </xf>
    <xf numFmtId="3" fontId="64" fillId="97" borderId="160" xfId="0" applyNumberFormat="1" applyFont="1" applyFill="1" applyBorder="1" applyAlignment="1">
      <alignment horizontal="right" vertical="center" indent="1"/>
    </xf>
    <xf numFmtId="169" fontId="64" fillId="97" borderId="165" xfId="1" applyNumberFormat="1" applyFont="1" applyFill="1" applyBorder="1" applyAlignment="1">
      <alignment horizontal="right" vertical="center" indent="1"/>
    </xf>
    <xf numFmtId="0" fontId="17" fillId="0" borderId="0" xfId="0" applyFont="1" applyAlignment="1">
      <alignment horizontal="center"/>
    </xf>
    <xf numFmtId="0" fontId="13" fillId="0" borderId="0" xfId="0" applyFont="1" applyBorder="1" applyAlignment="1">
      <alignment horizontal="left" vertical="center" wrapText="1" indent="1"/>
    </xf>
    <xf numFmtId="3" fontId="13" fillId="0" borderId="0" xfId="0" applyNumberFormat="1" applyFont="1" applyBorder="1" applyAlignment="1">
      <alignment horizontal="right" vertical="center" indent="1"/>
    </xf>
    <xf numFmtId="3" fontId="2" fillId="0" borderId="0" xfId="0" applyNumberFormat="1" applyFont="1" applyBorder="1" applyAlignment="1">
      <alignment horizontal="right" vertical="center" indent="1"/>
    </xf>
    <xf numFmtId="0" fontId="70" fillId="0" borderId="0" xfId="0" applyFont="1" applyAlignment="1">
      <alignment horizontal="center" vertical="center"/>
    </xf>
    <xf numFmtId="169" fontId="64" fillId="0" borderId="160" xfId="1" applyNumberFormat="1" applyFont="1" applyBorder="1" applyAlignment="1">
      <alignment horizontal="right" vertical="center" indent="1"/>
    </xf>
    <xf numFmtId="169" fontId="64" fillId="97" borderId="160" xfId="1" applyNumberFormat="1" applyFont="1" applyFill="1" applyBorder="1" applyAlignment="1">
      <alignment horizontal="right" vertical="center" inden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64" fillId="0" borderId="291" xfId="0" applyFont="1" applyBorder="1" applyAlignment="1">
      <alignment horizontal="left" vertical="center" indent="1"/>
    </xf>
    <xf numFmtId="3" fontId="64" fillId="0" borderId="292" xfId="0" applyNumberFormat="1" applyFont="1" applyBorder="1" applyAlignment="1">
      <alignment horizontal="center" vertical="center"/>
    </xf>
    <xf numFmtId="0" fontId="64" fillId="97" borderId="291" xfId="0" applyFont="1" applyFill="1" applyBorder="1" applyAlignment="1">
      <alignment horizontal="left" vertical="center" indent="1"/>
    </xf>
    <xf numFmtId="3" fontId="64" fillId="97" borderId="292" xfId="0" applyNumberFormat="1" applyFont="1" applyFill="1" applyBorder="1" applyAlignment="1">
      <alignment horizontal="center" vertical="center"/>
    </xf>
    <xf numFmtId="3" fontId="62" fillId="0" borderId="289" xfId="0" applyNumberFormat="1" applyFont="1" applyBorder="1" applyAlignment="1">
      <alignment horizontal="right" vertical="center" indent="2"/>
    </xf>
    <xf numFmtId="3" fontId="62" fillId="0" borderId="290" xfId="0" applyNumberFormat="1" applyFont="1" applyBorder="1" applyAlignment="1">
      <alignment horizontal="right" vertical="center" indent="2"/>
    </xf>
    <xf numFmtId="3" fontId="62" fillId="97" borderId="292" xfId="0" applyNumberFormat="1" applyFont="1" applyFill="1" applyBorder="1" applyAlignment="1">
      <alignment horizontal="right" vertical="center" indent="2"/>
    </xf>
    <xf numFmtId="3" fontId="62" fillId="97" borderId="293" xfId="0" applyNumberFormat="1" applyFont="1" applyFill="1" applyBorder="1" applyAlignment="1">
      <alignment horizontal="right" vertical="center" indent="2"/>
    </xf>
    <xf numFmtId="3" fontId="62" fillId="0" borderId="292" xfId="0" applyNumberFormat="1" applyFont="1" applyBorder="1" applyAlignment="1">
      <alignment horizontal="right" vertical="center" indent="2"/>
    </xf>
    <xf numFmtId="3" fontId="62" fillId="0" borderId="293" xfId="0" applyNumberFormat="1" applyFont="1" applyBorder="1" applyAlignment="1">
      <alignment horizontal="right" vertical="center" indent="2"/>
    </xf>
    <xf numFmtId="0" fontId="109" fillId="100" borderId="48" xfId="0" applyFont="1" applyFill="1" applyBorder="1" applyAlignment="1">
      <alignment horizontal="center" vertical="center" wrapText="1"/>
    </xf>
    <xf numFmtId="0" fontId="136" fillId="98" borderId="234" xfId="0" applyFont="1" applyFill="1" applyBorder="1" applyAlignment="1">
      <alignment horizontal="left" vertical="center" indent="1"/>
    </xf>
    <xf numFmtId="3" fontId="136" fillId="98" borderId="246" xfId="0" applyNumberFormat="1" applyFont="1" applyFill="1" applyBorder="1" applyAlignment="1">
      <alignment horizontal="right" vertical="center" indent="1"/>
    </xf>
    <xf numFmtId="169" fontId="136" fillId="98" borderId="246" xfId="1" applyNumberFormat="1" applyFont="1" applyFill="1" applyBorder="1" applyAlignment="1">
      <alignment horizontal="right" vertical="center" indent="1"/>
    </xf>
    <xf numFmtId="169" fontId="136" fillId="98" borderId="235" xfId="1" applyNumberFormat="1" applyFont="1" applyFill="1" applyBorder="1" applyAlignment="1">
      <alignment horizontal="right" vertical="center" indent="1"/>
    </xf>
    <xf numFmtId="0" fontId="79" fillId="100" borderId="162" xfId="0" applyFont="1" applyFill="1" applyBorder="1" applyAlignment="1">
      <alignment horizontal="center" vertical="center" wrapText="1"/>
    </xf>
    <xf numFmtId="3" fontId="64" fillId="0" borderId="112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center" vertical="center" wrapText="1"/>
    </xf>
    <xf numFmtId="169" fontId="110" fillId="0" borderId="0" xfId="0" applyNumberFormat="1" applyFont="1" applyAlignment="1"/>
    <xf numFmtId="3" fontId="57" fillId="3" borderId="38" xfId="0" applyNumberFormat="1" applyFont="1" applyFill="1" applyBorder="1" applyAlignment="1">
      <alignment horizontal="right" vertical="center" indent="2"/>
    </xf>
    <xf numFmtId="43" fontId="109" fillId="98" borderId="159" xfId="147" applyFont="1" applyFill="1" applyBorder="1" applyAlignment="1">
      <alignment horizontal="center" vertical="center"/>
    </xf>
    <xf numFmtId="43" fontId="109" fillId="98" borderId="67" xfId="147" applyFont="1" applyFill="1" applyBorder="1" applyAlignment="1">
      <alignment horizontal="center" vertical="center"/>
    </xf>
    <xf numFmtId="43" fontId="109" fillId="98" borderId="67" xfId="147" applyFont="1" applyFill="1" applyBorder="1" applyAlignment="1">
      <alignment horizontal="center" vertical="center" wrapText="1"/>
    </xf>
    <xf numFmtId="43" fontId="109" fillId="98" borderId="68" xfId="147" applyFont="1" applyFill="1" applyBorder="1" applyAlignment="1">
      <alignment horizontal="center" vertical="center" wrapText="1"/>
    </xf>
    <xf numFmtId="0" fontId="57" fillId="3" borderId="6" xfId="0" applyFont="1" applyFill="1" applyBorder="1" applyAlignment="1">
      <alignment horizontal="left" vertical="center" indent="1"/>
    </xf>
    <xf numFmtId="3" fontId="57" fillId="3" borderId="6" xfId="0" applyNumberFormat="1" applyFont="1" applyFill="1" applyBorder="1" applyAlignment="1">
      <alignment horizontal="right" vertical="center" indent="2"/>
    </xf>
    <xf numFmtId="0" fontId="0" fillId="0" borderId="0" xfId="0" applyFont="1" applyAlignment="1">
      <alignment wrapText="1"/>
    </xf>
    <xf numFmtId="0" fontId="138" fillId="0" borderId="0" xfId="0" applyFont="1"/>
    <xf numFmtId="0" fontId="139" fillId="0" borderId="0" xfId="0" applyFont="1"/>
    <xf numFmtId="0" fontId="139" fillId="99" borderId="0" xfId="0" applyFont="1" applyFill="1" applyAlignment="1">
      <alignment horizontal="left" vertical="center"/>
    </xf>
    <xf numFmtId="0" fontId="139" fillId="102" borderId="0" xfId="0" applyFont="1" applyFill="1"/>
    <xf numFmtId="0" fontId="139" fillId="104" borderId="0" xfId="0" applyFont="1" applyFill="1" applyAlignment="1">
      <alignment horizontal="left" vertical="center"/>
    </xf>
    <xf numFmtId="0" fontId="0" fillId="0" borderId="0" xfId="0" pivotButton="1"/>
    <xf numFmtId="0" fontId="0" fillId="0" borderId="0" xfId="0" applyNumberFormat="1"/>
    <xf numFmtId="0" fontId="99" fillId="97" borderId="64" xfId="0" applyFont="1" applyFill="1" applyBorder="1" applyAlignment="1">
      <alignment horizontal="left" vertical="center" wrapText="1" indent="1"/>
    </xf>
    <xf numFmtId="3" fontId="0" fillId="105" borderId="0" xfId="0" applyNumberFormat="1" applyFill="1"/>
    <xf numFmtId="3" fontId="140" fillId="0" borderId="0" xfId="0" applyNumberFormat="1" applyFont="1"/>
    <xf numFmtId="0" fontId="140" fillId="0" borderId="0" xfId="0" applyFont="1"/>
    <xf numFmtId="3" fontId="70" fillId="3" borderId="0" xfId="0" applyNumberFormat="1" applyFont="1" applyFill="1" applyAlignment="1">
      <alignment horizontal="center" vertical="center"/>
    </xf>
    <xf numFmtId="0" fontId="70" fillId="3" borderId="0" xfId="0" applyFont="1" applyFill="1" applyAlignment="1"/>
    <xf numFmtId="0" fontId="79" fillId="98" borderId="295" xfId="0" applyFont="1" applyFill="1" applyBorder="1" applyAlignment="1">
      <alignment horizontal="center" vertical="center"/>
    </xf>
    <xf numFmtId="0" fontId="92" fillId="3" borderId="0" xfId="0" applyFont="1" applyFill="1" applyAlignment="1"/>
    <xf numFmtId="0" fontId="79" fillId="98" borderId="309" xfId="0" applyFont="1" applyFill="1" applyBorder="1" applyAlignment="1">
      <alignment horizontal="center" vertical="center"/>
    </xf>
    <xf numFmtId="0" fontId="109" fillId="3" borderId="323" xfId="0" applyFont="1" applyFill="1" applyBorder="1" applyAlignment="1">
      <alignment horizontal="center" vertical="center"/>
    </xf>
    <xf numFmtId="3" fontId="109" fillId="3" borderId="0" xfId="0" applyNumberFormat="1" applyFont="1" applyFill="1" applyBorder="1" applyAlignment="1">
      <alignment horizontal="center" vertical="center"/>
    </xf>
    <xf numFmtId="3" fontId="14" fillId="3" borderId="0" xfId="0" applyNumberFormat="1" applyFont="1" applyFill="1" applyBorder="1" applyAlignment="1">
      <alignment horizontal="center" vertical="center"/>
    </xf>
    <xf numFmtId="0" fontId="107" fillId="3" borderId="324" xfId="0" applyFont="1" applyFill="1" applyBorder="1" applyAlignment="1"/>
    <xf numFmtId="0" fontId="1" fillId="3" borderId="0" xfId="0" applyFont="1" applyFill="1" applyAlignment="1"/>
    <xf numFmtId="3" fontId="109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/>
    </xf>
    <xf numFmtId="0" fontId="141" fillId="97" borderId="325" xfId="0" applyFont="1" applyFill="1" applyBorder="1" applyAlignment="1">
      <alignment horizontal="center" vertical="center"/>
    </xf>
    <xf numFmtId="3" fontId="141" fillId="97" borderId="326" xfId="0" applyNumberFormat="1" applyFont="1" applyFill="1" applyBorder="1" applyAlignment="1">
      <alignment horizontal="right" vertical="center" indent="2"/>
    </xf>
    <xf numFmtId="3" fontId="92" fillId="3" borderId="327" xfId="0" applyNumberFormat="1" applyFont="1" applyFill="1" applyBorder="1" applyAlignment="1">
      <alignment horizontal="center" vertical="center"/>
    </xf>
    <xf numFmtId="0" fontId="56" fillId="0" borderId="328" xfId="0" applyFont="1" applyBorder="1" applyAlignment="1"/>
    <xf numFmtId="0" fontId="1" fillId="0" borderId="0" xfId="0" applyFont="1" applyAlignment="1"/>
    <xf numFmtId="0" fontId="62" fillId="0" borderId="327" xfId="0" applyFont="1" applyBorder="1" applyAlignment="1">
      <alignment horizontal="center"/>
    </xf>
    <xf numFmtId="0" fontId="62" fillId="0" borderId="328" xfId="0" applyFont="1" applyBorder="1" applyAlignment="1"/>
    <xf numFmtId="0" fontId="142" fillId="2" borderId="325" xfId="0" applyFont="1" applyFill="1" applyBorder="1" applyAlignment="1">
      <alignment horizontal="left" vertical="center" indent="1"/>
    </xf>
    <xf numFmtId="3" fontId="142" fillId="3" borderId="326" xfId="0" applyNumberFormat="1" applyFont="1" applyFill="1" applyBorder="1" applyAlignment="1">
      <alignment horizontal="right" vertical="center" indent="2"/>
    </xf>
    <xf numFmtId="3" fontId="92" fillId="3" borderId="119" xfId="0" applyNumberFormat="1" applyFont="1" applyFill="1" applyBorder="1" applyAlignment="1">
      <alignment horizontal="center" vertical="center"/>
    </xf>
    <xf numFmtId="0" fontId="56" fillId="2" borderId="324" xfId="0" applyFont="1" applyFill="1" applyBorder="1" applyAlignment="1">
      <alignment horizontal="right"/>
    </xf>
    <xf numFmtId="0" fontId="19" fillId="0" borderId="0" xfId="0" applyFont="1" applyAlignment="1"/>
    <xf numFmtId="0" fontId="142" fillId="2" borderId="329" xfId="0" applyFont="1" applyFill="1" applyBorder="1" applyAlignment="1">
      <alignment horizontal="left" vertical="center" indent="1"/>
    </xf>
    <xf numFmtId="3" fontId="62" fillId="3" borderId="31" xfId="0" applyNumberFormat="1" applyFont="1" applyFill="1" applyBorder="1" applyAlignment="1">
      <alignment horizontal="right" vertical="center" indent="2"/>
    </xf>
    <xf numFmtId="0" fontId="13" fillId="0" borderId="119" xfId="0" applyFont="1" applyBorder="1" applyAlignment="1">
      <alignment horizontal="center"/>
    </xf>
    <xf numFmtId="0" fontId="56" fillId="0" borderId="324" xfId="0" applyFont="1" applyBorder="1" applyAlignment="1"/>
    <xf numFmtId="0" fontId="62" fillId="0" borderId="323" xfId="0" applyFont="1" applyBorder="1" applyAlignment="1">
      <alignment horizontal="left" vertical="center" indent="1"/>
    </xf>
    <xf numFmtId="3" fontId="62" fillId="3" borderId="0" xfId="0" applyNumberFormat="1" applyFont="1" applyFill="1" applyBorder="1" applyAlignment="1">
      <alignment horizontal="right" vertical="center" indent="2"/>
    </xf>
    <xf numFmtId="0" fontId="56" fillId="3" borderId="324" xfId="0" applyFont="1" applyFill="1" applyBorder="1" applyAlignment="1">
      <alignment horizontal="right"/>
    </xf>
    <xf numFmtId="0" fontId="142" fillId="2" borderId="330" xfId="0" applyFont="1" applyFill="1" applyBorder="1" applyAlignment="1">
      <alignment horizontal="left" vertical="center" indent="1"/>
    </xf>
    <xf numFmtId="3" fontId="62" fillId="3" borderId="6" xfId="0" applyNumberFormat="1" applyFont="1" applyFill="1" applyBorder="1" applyAlignment="1">
      <alignment horizontal="right" vertical="center" indent="2"/>
    </xf>
    <xf numFmtId="0" fontId="141" fillId="97" borderId="329" xfId="0" applyFont="1" applyFill="1" applyBorder="1" applyAlignment="1">
      <alignment horizontal="center" vertical="center"/>
    </xf>
    <xf numFmtId="3" fontId="141" fillId="97" borderId="327" xfId="0" applyNumberFormat="1" applyFont="1" applyFill="1" applyBorder="1" applyAlignment="1">
      <alignment horizontal="right" vertical="center" indent="2"/>
    </xf>
    <xf numFmtId="3" fontId="142" fillId="3" borderId="6" xfId="0" applyNumberFormat="1" applyFont="1" applyFill="1" applyBorder="1" applyAlignment="1">
      <alignment horizontal="right" vertical="center" indent="2"/>
    </xf>
    <xf numFmtId="0" fontId="142" fillId="2" borderId="289" xfId="0" applyFont="1" applyFill="1" applyBorder="1" applyAlignment="1">
      <alignment horizontal="left" vertical="center" indent="1"/>
    </xf>
    <xf numFmtId="3" fontId="142" fillId="3" borderId="289" xfId="0" applyNumberFormat="1" applyFont="1" applyFill="1" applyBorder="1" applyAlignment="1">
      <alignment horizontal="right" vertical="center" indent="2"/>
    </xf>
    <xf numFmtId="3" fontId="92" fillId="3" borderId="0" xfId="0" applyNumberFormat="1" applyFont="1" applyFill="1" applyBorder="1" applyAlignment="1">
      <alignment horizontal="center" vertical="center"/>
    </xf>
    <xf numFmtId="0" fontId="142" fillId="2" borderId="331" xfId="0" applyFont="1" applyFill="1" applyBorder="1" applyAlignment="1">
      <alignment horizontal="left" vertical="center" indent="1"/>
    </xf>
    <xf numFmtId="3" fontId="62" fillId="3" borderId="32" xfId="0" applyNumberFormat="1" applyFont="1" applyFill="1" applyBorder="1" applyAlignment="1">
      <alignment horizontal="right" vertical="center" indent="2"/>
    </xf>
    <xf numFmtId="0" fontId="142" fillId="2" borderId="292" xfId="0" applyFont="1" applyFill="1" applyBorder="1" applyAlignment="1">
      <alignment horizontal="left" vertical="center" indent="1"/>
    </xf>
    <xf numFmtId="3" fontId="142" fillId="3" borderId="292" xfId="0" applyNumberFormat="1" applyFont="1" applyFill="1" applyBorder="1" applyAlignment="1">
      <alignment horizontal="right" vertical="center" indent="2"/>
    </xf>
    <xf numFmtId="3" fontId="13" fillId="3" borderId="0" xfId="0" applyNumberFormat="1" applyFont="1" applyFill="1" applyBorder="1" applyAlignment="1">
      <alignment horizontal="center" vertical="center"/>
    </xf>
    <xf numFmtId="0" fontId="62" fillId="0" borderId="323" xfId="0" applyFont="1" applyBorder="1" applyAlignment="1"/>
    <xf numFmtId="0" fontId="62" fillId="0" borderId="0" xfId="0" applyFont="1" applyBorder="1" applyAlignment="1">
      <alignment horizontal="right" vertical="center" indent="2"/>
    </xf>
    <xf numFmtId="3" fontId="142" fillId="2" borderId="330" xfId="0" applyNumberFormat="1" applyFont="1" applyFill="1" applyBorder="1" applyAlignment="1">
      <alignment horizontal="left" vertical="center" indent="1"/>
    </xf>
    <xf numFmtId="0" fontId="62" fillId="0" borderId="332" xfId="0" applyFont="1" applyBorder="1"/>
    <xf numFmtId="0" fontId="62" fillId="0" borderId="333" xfId="0" applyFont="1" applyBorder="1" applyAlignment="1">
      <alignment horizontal="right" vertical="center" indent="2"/>
    </xf>
    <xf numFmtId="0" fontId="142" fillId="2" borderId="294" xfId="0" applyFont="1" applyFill="1" applyBorder="1" applyAlignment="1">
      <alignment horizontal="left" vertical="center" indent="1"/>
    </xf>
    <xf numFmtId="0" fontId="13" fillId="0" borderId="323" xfId="0" applyFont="1" applyBorder="1" applyAlignment="1">
      <alignment horizontal="left" vertical="center" indent="1"/>
    </xf>
    <xf numFmtId="3" fontId="13" fillId="3" borderId="0" xfId="0" applyNumberFormat="1" applyFont="1" applyFill="1" applyBorder="1" applyAlignment="1">
      <alignment horizontal="right" vertical="center" indent="2"/>
    </xf>
    <xf numFmtId="3" fontId="13" fillId="3" borderId="119" xfId="0" applyNumberFormat="1" applyFont="1" applyFill="1" applyBorder="1" applyAlignment="1">
      <alignment horizontal="center" vertical="center"/>
    </xf>
    <xf numFmtId="3" fontId="143" fillId="3" borderId="119" xfId="0" applyNumberFormat="1" applyFont="1" applyFill="1" applyBorder="1" applyAlignment="1">
      <alignment horizontal="center" vertical="center"/>
    </xf>
    <xf numFmtId="0" fontId="142" fillId="3" borderId="329" xfId="0" applyFont="1" applyFill="1" applyBorder="1" applyAlignment="1">
      <alignment horizontal="left" vertical="center" indent="1"/>
    </xf>
    <xf numFmtId="3" fontId="142" fillId="3" borderId="32" xfId="0" applyNumberFormat="1" applyFont="1" applyFill="1" applyBorder="1" applyAlignment="1">
      <alignment horizontal="right" vertical="center" indent="2"/>
    </xf>
    <xf numFmtId="3" fontId="55" fillId="3" borderId="119" xfId="0" applyNumberFormat="1" applyFont="1" applyFill="1" applyBorder="1" applyAlignment="1">
      <alignment horizontal="center" vertical="center"/>
    </xf>
    <xf numFmtId="3" fontId="70" fillId="0" borderId="0" xfId="0" applyNumberFormat="1" applyFont="1" applyAlignment="1"/>
    <xf numFmtId="0" fontId="13" fillId="0" borderId="334" xfId="0" applyFont="1" applyBorder="1" applyAlignment="1">
      <alignment horizontal="center"/>
    </xf>
    <xf numFmtId="0" fontId="56" fillId="0" borderId="335" xfId="0" applyFont="1" applyBorder="1" applyAlignment="1"/>
    <xf numFmtId="0" fontId="62" fillId="0" borderId="0" xfId="0" applyFont="1" applyBorder="1" applyAlignment="1"/>
    <xf numFmtId="0" fontId="62" fillId="0" borderId="324" xfId="0" applyFont="1" applyBorder="1" applyAlignment="1"/>
    <xf numFmtId="0" fontId="62" fillId="0" borderId="307" xfId="0" applyFont="1" applyBorder="1" applyAlignment="1"/>
    <xf numFmtId="0" fontId="62" fillId="0" borderId="336" xfId="0" applyFont="1" applyBorder="1" applyAlignment="1"/>
    <xf numFmtId="0" fontId="62" fillId="0" borderId="337" xfId="0" applyFont="1" applyBorder="1" applyAlignment="1"/>
    <xf numFmtId="0" fontId="144" fillId="0" borderId="323" xfId="0" applyFont="1" applyBorder="1" applyAlignment="1">
      <alignment horizontal="center"/>
    </xf>
    <xf numFmtId="3" fontId="144" fillId="0" borderId="0" xfId="0" applyNumberFormat="1" applyFont="1" applyBorder="1" applyAlignment="1">
      <alignment horizontal="right"/>
    </xf>
    <xf numFmtId="3" fontId="144" fillId="0" borderId="324" xfId="0" applyNumberFormat="1" applyFont="1" applyBorder="1" applyAlignment="1">
      <alignment horizontal="right"/>
    </xf>
    <xf numFmtId="3" fontId="62" fillId="3" borderId="292" xfId="0" applyNumberFormat="1" applyFont="1" applyFill="1" applyBorder="1" applyAlignment="1">
      <alignment horizontal="right" vertical="center" indent="2"/>
    </xf>
    <xf numFmtId="0" fontId="62" fillId="0" borderId="0" xfId="0" applyFont="1" applyBorder="1" applyAlignment="1">
      <alignment horizontal="center"/>
    </xf>
    <xf numFmtId="0" fontId="62" fillId="0" borderId="324" xfId="0" applyFont="1" applyBorder="1" applyAlignment="1">
      <alignment horizontal="center"/>
    </xf>
    <xf numFmtId="0" fontId="62" fillId="0" borderId="323" xfId="0" applyFont="1" applyBorder="1" applyAlignment="1">
      <alignment horizontal="left" vertical="center" indent="5"/>
    </xf>
    <xf numFmtId="0" fontId="145" fillId="2" borderId="0" xfId="0" applyFont="1" applyFill="1" applyBorder="1" applyAlignment="1">
      <alignment horizontal="left" vertical="center" indent="1"/>
    </xf>
    <xf numFmtId="0" fontId="144" fillId="0" borderId="338" xfId="0" applyFont="1" applyBorder="1" applyAlignment="1">
      <alignment horizontal="left" vertical="center" indent="5"/>
    </xf>
    <xf numFmtId="3" fontId="144" fillId="3" borderId="339" xfId="0" applyNumberFormat="1" applyFont="1" applyFill="1" applyBorder="1" applyAlignment="1">
      <alignment horizontal="right" vertical="center" indent="2"/>
    </xf>
    <xf numFmtId="0" fontId="62" fillId="0" borderId="339" xfId="0" applyFont="1" applyBorder="1" applyAlignment="1"/>
    <xf numFmtId="0" fontId="62" fillId="0" borderId="340" xfId="0" applyFont="1" applyBorder="1" applyAlignment="1"/>
    <xf numFmtId="0" fontId="55" fillId="2" borderId="0" xfId="0" applyFont="1" applyFill="1" applyBorder="1" applyAlignment="1">
      <alignment horizontal="left" vertical="center" indent="1"/>
    </xf>
    <xf numFmtId="0" fontId="79" fillId="98" borderId="341" xfId="0" applyFont="1" applyFill="1" applyBorder="1" applyAlignment="1">
      <alignment horizontal="center" vertical="center"/>
    </xf>
    <xf numFmtId="0" fontId="79" fillId="98" borderId="342" xfId="0" applyFont="1" applyFill="1" applyBorder="1" applyAlignment="1">
      <alignment horizontal="center" vertical="center"/>
    </xf>
    <xf numFmtId="0" fontId="75" fillId="0" borderId="0" xfId="0" applyFont="1" applyAlignment="1">
      <alignment vertical="center" wrapText="1"/>
    </xf>
    <xf numFmtId="3" fontId="62" fillId="3" borderId="294" xfId="0" applyNumberFormat="1" applyFont="1" applyFill="1" applyBorder="1" applyAlignment="1">
      <alignment horizontal="right" vertical="center" indent="2"/>
    </xf>
    <xf numFmtId="3" fontId="13" fillId="3" borderId="339" xfId="0" applyNumberFormat="1" applyFont="1" applyFill="1" applyBorder="1" applyAlignment="1">
      <alignment horizontal="center" vertical="center"/>
    </xf>
    <xf numFmtId="0" fontId="56" fillId="3" borderId="340" xfId="0" applyFont="1" applyFill="1" applyBorder="1" applyAlignment="1">
      <alignment horizontal="right"/>
    </xf>
    <xf numFmtId="0" fontId="81" fillId="0" borderId="0" xfId="0" applyFont="1" applyAlignment="1">
      <alignment vertical="center" wrapText="1"/>
    </xf>
    <xf numFmtId="0" fontId="62" fillId="0" borderId="0" xfId="0" applyFont="1" applyAlignment="1"/>
    <xf numFmtId="0" fontId="70" fillId="0" borderId="0" xfId="0" applyFont="1" applyAlignment="1">
      <alignment horizontal="left" vertical="center" wrapText="1" indent="1"/>
    </xf>
    <xf numFmtId="3" fontId="70" fillId="3" borderId="0" xfId="0" applyNumberFormat="1" applyFont="1" applyFill="1" applyAlignment="1">
      <alignment horizontal="right" vertical="center" wrapText="1" indent="3"/>
    </xf>
    <xf numFmtId="3" fontId="70" fillId="3" borderId="0" xfId="0" applyNumberFormat="1" applyFont="1" applyFill="1" applyAlignment="1">
      <alignment horizontal="center" vertical="center" wrapText="1"/>
    </xf>
    <xf numFmtId="0" fontId="81" fillId="3" borderId="0" xfId="0" applyFont="1" applyFill="1"/>
    <xf numFmtId="0" fontId="95" fillId="3" borderId="0" xfId="0" applyFont="1" applyFill="1"/>
    <xf numFmtId="0" fontId="107" fillId="3" borderId="0" xfId="0" applyFont="1" applyFill="1"/>
    <xf numFmtId="0" fontId="1" fillId="0" borderId="323" xfId="0" applyFont="1" applyBorder="1" applyAlignment="1"/>
    <xf numFmtId="0" fontId="1" fillId="0" borderId="0" xfId="0" applyFont="1" applyBorder="1" applyAlignment="1"/>
    <xf numFmtId="0" fontId="1" fillId="0" borderId="324" xfId="0" applyFont="1" applyBorder="1" applyAlignment="1"/>
    <xf numFmtId="0" fontId="141" fillId="97" borderId="344" xfId="0" applyFont="1" applyFill="1" applyBorder="1" applyAlignment="1">
      <alignment horizontal="center" vertical="center"/>
    </xf>
    <xf numFmtId="3" fontId="141" fillId="97" borderId="345" xfId="0" applyNumberFormat="1" applyFont="1" applyFill="1" applyBorder="1" applyAlignment="1">
      <alignment horizontal="right" vertical="center" indent="2"/>
    </xf>
    <xf numFmtId="0" fontId="141" fillId="2" borderId="336" xfId="0" applyFont="1" applyFill="1" applyBorder="1" applyAlignment="1">
      <alignment horizontal="center" vertical="center"/>
    </xf>
    <xf numFmtId="0" fontId="146" fillId="0" borderId="337" xfId="0" applyFont="1" applyBorder="1" applyAlignment="1"/>
    <xf numFmtId="0" fontId="146" fillId="0" borderId="0" xfId="0" applyFont="1" applyAlignment="1"/>
    <xf numFmtId="0" fontId="63" fillId="3" borderId="337" xfId="0" applyFont="1" applyFill="1" applyBorder="1" applyAlignment="1">
      <alignment horizontal="right"/>
    </xf>
    <xf numFmtId="0" fontId="142" fillId="2" borderId="346" xfId="0" applyFont="1" applyFill="1" applyBorder="1" applyAlignment="1">
      <alignment horizontal="left" vertical="center" indent="1"/>
    </xf>
    <xf numFmtId="3" fontId="62" fillId="3" borderId="0" xfId="0" applyNumberFormat="1" applyFont="1" applyFill="1" applyBorder="1" applyAlignment="1">
      <alignment horizontal="center" vertical="center"/>
    </xf>
    <xf numFmtId="3" fontId="62" fillId="3" borderId="0" xfId="0" applyNumberFormat="1" applyFont="1" applyFill="1" applyBorder="1" applyAlignment="1">
      <alignment horizontal="right" vertical="center" indent="3"/>
    </xf>
    <xf numFmtId="0" fontId="137" fillId="0" borderId="324" xfId="0" applyFont="1" applyBorder="1" applyAlignment="1"/>
    <xf numFmtId="3" fontId="141" fillId="96" borderId="38" xfId="0" applyNumberFormat="1" applyFont="1" applyFill="1" applyBorder="1" applyAlignment="1">
      <alignment horizontal="right" vertical="center" indent="2"/>
    </xf>
    <xf numFmtId="0" fontId="141" fillId="2" borderId="0" xfId="0" applyFont="1" applyFill="1" applyBorder="1" applyAlignment="1">
      <alignment horizontal="center" vertical="center"/>
    </xf>
    <xf numFmtId="0" fontId="142" fillId="2" borderId="347" xfId="0" applyFont="1" applyFill="1" applyBorder="1" applyAlignment="1">
      <alignment horizontal="left" vertical="center" indent="1"/>
    </xf>
    <xf numFmtId="3" fontId="62" fillId="3" borderId="348" xfId="0" applyNumberFormat="1" applyFont="1" applyFill="1" applyBorder="1" applyAlignment="1">
      <alignment horizontal="right" vertical="center" indent="2"/>
    </xf>
    <xf numFmtId="3" fontId="62" fillId="3" borderId="339" xfId="0" applyNumberFormat="1" applyFont="1" applyFill="1" applyBorder="1" applyAlignment="1">
      <alignment horizontal="center" vertical="center"/>
    </xf>
    <xf numFmtId="0" fontId="146" fillId="0" borderId="0" xfId="0" applyFont="1"/>
    <xf numFmtId="0" fontId="70" fillId="0" borderId="323" xfId="0" applyFont="1" applyBorder="1" applyAlignment="1"/>
    <xf numFmtId="0" fontId="70" fillId="0" borderId="0" xfId="0" applyFont="1" applyBorder="1" applyAlignment="1"/>
    <xf numFmtId="0" fontId="70" fillId="0" borderId="324" xfId="0" applyFont="1" applyBorder="1" applyAlignment="1"/>
    <xf numFmtId="0" fontId="70" fillId="0" borderId="323" xfId="0" applyFont="1" applyBorder="1" applyAlignment="1">
      <alignment horizontal="left" vertical="center" indent="1"/>
    </xf>
    <xf numFmtId="0" fontId="144" fillId="0" borderId="338" xfId="0" applyFont="1" applyBorder="1" applyAlignment="1">
      <alignment horizontal="left"/>
    </xf>
    <xf numFmtId="0" fontId="62" fillId="0" borderId="0" xfId="0" applyFont="1" applyBorder="1" applyAlignment="1">
      <alignment horizontal="left" vertical="center" indent="1"/>
    </xf>
    <xf numFmtId="0" fontId="63" fillId="3" borderId="0" xfId="0" applyFont="1" applyFill="1" applyBorder="1" applyAlignment="1">
      <alignment horizontal="right"/>
    </xf>
    <xf numFmtId="0" fontId="62" fillId="0" borderId="0" xfId="0" applyFont="1" applyAlignment="1">
      <alignment horizontal="left" vertical="center" indent="1"/>
    </xf>
    <xf numFmtId="3" fontId="147" fillId="3" borderId="0" xfId="0" applyNumberFormat="1" applyFont="1" applyFill="1" applyAlignment="1">
      <alignment horizontal="right" vertical="center" indent="3"/>
    </xf>
    <xf numFmtId="3" fontId="62" fillId="3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3" fontId="13" fillId="3" borderId="0" xfId="0" applyNumberFormat="1" applyFont="1" applyFill="1" applyAlignment="1">
      <alignment horizontal="right" vertical="center" indent="3"/>
    </xf>
    <xf numFmtId="3" fontId="13" fillId="3" borderId="0" xfId="0" applyNumberFormat="1" applyFont="1" applyFill="1" applyAlignment="1">
      <alignment horizontal="center" vertical="center"/>
    </xf>
    <xf numFmtId="0" fontId="137" fillId="0" borderId="0" xfId="0" applyFont="1" applyAlignment="1"/>
    <xf numFmtId="0" fontId="137" fillId="0" borderId="0" xfId="0" applyFont="1"/>
    <xf numFmtId="0" fontId="13" fillId="0" borderId="0" xfId="0" applyFont="1" applyAlignment="1"/>
    <xf numFmtId="0" fontId="79" fillId="98" borderId="349" xfId="0" applyFont="1" applyFill="1" applyBorder="1" applyAlignment="1">
      <alignment horizontal="center" vertical="center"/>
    </xf>
    <xf numFmtId="0" fontId="95" fillId="0" borderId="0" xfId="0" applyFont="1"/>
    <xf numFmtId="0" fontId="79" fillId="98" borderId="352" xfId="0" applyFont="1" applyFill="1" applyBorder="1" applyAlignment="1">
      <alignment horizontal="center" vertical="center"/>
    </xf>
    <xf numFmtId="0" fontId="112" fillId="3" borderId="355" xfId="0" applyFont="1" applyFill="1" applyBorder="1" applyAlignment="1">
      <alignment horizontal="center" vertical="center"/>
    </xf>
    <xf numFmtId="3" fontId="112" fillId="3" borderId="0" xfId="0" applyNumberFormat="1" applyFont="1" applyFill="1" applyBorder="1" applyAlignment="1">
      <alignment horizontal="center" vertical="center"/>
    </xf>
    <xf numFmtId="0" fontId="113" fillId="3" borderId="356" xfId="0" applyFont="1" applyFill="1" applyBorder="1" applyAlignment="1"/>
    <xf numFmtId="0" fontId="113" fillId="3" borderId="0" xfId="0" applyFont="1" applyFill="1"/>
    <xf numFmtId="0" fontId="144" fillId="0" borderId="355" xfId="0" applyFont="1" applyBorder="1" applyAlignment="1"/>
    <xf numFmtId="0" fontId="144" fillId="0" borderId="0" xfId="0" applyFont="1" applyBorder="1" applyAlignment="1"/>
    <xf numFmtId="0" fontId="144" fillId="0" borderId="356" xfId="0" applyFont="1" applyBorder="1" applyAlignment="1"/>
    <xf numFmtId="0" fontId="141" fillId="97" borderId="357" xfId="0" applyFont="1" applyFill="1" applyBorder="1" applyAlignment="1">
      <alignment horizontal="center" vertical="center"/>
    </xf>
    <xf numFmtId="3" fontId="141" fillId="97" borderId="38" xfId="0" applyNumberFormat="1" applyFont="1" applyFill="1" applyBorder="1" applyAlignment="1">
      <alignment horizontal="right" vertical="center" indent="2"/>
    </xf>
    <xf numFmtId="0" fontId="141" fillId="2" borderId="358" xfId="0" applyFont="1" applyFill="1" applyBorder="1" applyAlignment="1">
      <alignment horizontal="center" vertical="center"/>
    </xf>
    <xf numFmtId="0" fontId="146" fillId="0" borderId="359" xfId="0" applyFont="1" applyBorder="1" applyAlignment="1"/>
    <xf numFmtId="0" fontId="62" fillId="0" borderId="327" xfId="0" applyFont="1" applyBorder="1" applyAlignment="1"/>
    <xf numFmtId="0" fontId="56" fillId="0" borderId="359" xfId="0" applyFont="1" applyBorder="1" applyAlignment="1"/>
    <xf numFmtId="0" fontId="142" fillId="2" borderId="360" xfId="0" applyFont="1" applyFill="1" applyBorder="1" applyAlignment="1">
      <alignment horizontal="left" vertical="center" indent="1"/>
    </xf>
    <xf numFmtId="3" fontId="62" fillId="3" borderId="361" xfId="0" applyNumberFormat="1" applyFont="1" applyFill="1" applyBorder="1" applyAlignment="1">
      <alignment horizontal="right" vertical="center" indent="2"/>
    </xf>
    <xf numFmtId="0" fontId="56" fillId="0" borderId="356" xfId="0" applyFont="1" applyBorder="1" applyAlignment="1"/>
    <xf numFmtId="0" fontId="142" fillId="2" borderId="362" xfId="0" applyFont="1" applyFill="1" applyBorder="1" applyAlignment="1">
      <alignment horizontal="left" vertical="center" indent="1"/>
    </xf>
    <xf numFmtId="3" fontId="62" fillId="3" borderId="357" xfId="0" applyNumberFormat="1" applyFont="1" applyFill="1" applyBorder="1" applyAlignment="1">
      <alignment horizontal="right" vertical="center" indent="2"/>
    </xf>
    <xf numFmtId="0" fontId="142" fillId="2" borderId="64" xfId="0" applyFont="1" applyFill="1" applyBorder="1" applyAlignment="1">
      <alignment horizontal="left" vertical="center" indent="1"/>
    </xf>
    <xf numFmtId="3" fontId="62" fillId="3" borderId="36" xfId="0" applyNumberFormat="1" applyFont="1" applyFill="1" applyBorder="1" applyAlignment="1">
      <alignment horizontal="right" vertical="center" indent="2"/>
    </xf>
    <xf numFmtId="0" fontId="62" fillId="0" borderId="355" xfId="0" applyFont="1" applyBorder="1" applyAlignment="1"/>
    <xf numFmtId="0" fontId="142" fillId="2" borderId="363" xfId="0" applyFont="1" applyFill="1" applyBorder="1" applyAlignment="1">
      <alignment horizontal="left" vertical="center" indent="1"/>
    </xf>
    <xf numFmtId="3" fontId="62" fillId="3" borderId="364" xfId="0" applyNumberFormat="1" applyFont="1" applyFill="1" applyBorder="1" applyAlignment="1">
      <alignment horizontal="right" vertical="center" indent="2"/>
    </xf>
    <xf numFmtId="3" fontId="141" fillId="97" borderId="31" xfId="0" applyNumberFormat="1" applyFont="1" applyFill="1" applyBorder="1" applyAlignment="1">
      <alignment horizontal="right" vertical="center" indent="2"/>
    </xf>
    <xf numFmtId="0" fontId="62" fillId="0" borderId="355" xfId="0" applyFont="1" applyBorder="1" applyAlignment="1">
      <alignment horizontal="left" vertical="center" wrapText="1" indent="1"/>
    </xf>
    <xf numFmtId="3" fontId="62" fillId="3" borderId="0" xfId="0" applyNumberFormat="1" applyFont="1" applyFill="1" applyBorder="1" applyAlignment="1">
      <alignment horizontal="center" vertical="center" wrapText="1"/>
    </xf>
    <xf numFmtId="0" fontId="146" fillId="0" borderId="0" xfId="0" applyFont="1" applyAlignment="1">
      <alignment vertical="center" wrapText="1"/>
    </xf>
    <xf numFmtId="0" fontId="142" fillId="2" borderId="365" xfId="0" applyFont="1" applyFill="1" applyBorder="1" applyAlignment="1">
      <alignment horizontal="left" vertical="center" indent="1"/>
    </xf>
    <xf numFmtId="0" fontId="142" fillId="2" borderId="366" xfId="0" applyFont="1" applyFill="1" applyBorder="1" applyAlignment="1">
      <alignment horizontal="left" vertical="center" indent="1"/>
    </xf>
    <xf numFmtId="0" fontId="62" fillId="0" borderId="367" xfId="0" applyFont="1" applyBorder="1" applyAlignment="1"/>
    <xf numFmtId="0" fontId="56" fillId="0" borderId="368" xfId="0" applyFont="1" applyBorder="1" applyAlignment="1"/>
    <xf numFmtId="0" fontId="70" fillId="0" borderId="355" xfId="0" applyFont="1" applyBorder="1" applyAlignment="1"/>
    <xf numFmtId="0" fontId="70" fillId="0" borderId="356" xfId="0" applyFont="1" applyBorder="1" applyAlignment="1"/>
    <xf numFmtId="0" fontId="62" fillId="0" borderId="366" xfId="0" applyFont="1" applyBorder="1" applyAlignment="1">
      <alignment horizontal="left" vertical="center" indent="1"/>
    </xf>
    <xf numFmtId="3" fontId="62" fillId="3" borderId="369" xfId="0" applyNumberFormat="1" applyFont="1" applyFill="1" applyBorder="1" applyAlignment="1">
      <alignment horizontal="right" vertical="center" indent="3"/>
    </xf>
    <xf numFmtId="0" fontId="62" fillId="0" borderId="370" xfId="0" applyFont="1" applyBorder="1" applyAlignment="1"/>
    <xf numFmtId="0" fontId="62" fillId="0" borderId="371" xfId="0" applyFont="1" applyBorder="1" applyAlignment="1">
      <alignment horizontal="center"/>
    </xf>
    <xf numFmtId="0" fontId="62" fillId="0" borderId="372" xfId="0" applyFont="1" applyBorder="1" applyAlignment="1">
      <alignment horizontal="center"/>
    </xf>
    <xf numFmtId="0" fontId="144" fillId="0" borderId="355" xfId="0" applyFont="1" applyBorder="1" applyAlignment="1">
      <alignment horizontal="center"/>
    </xf>
    <xf numFmtId="3" fontId="144" fillId="0" borderId="356" xfId="0" applyNumberFormat="1" applyFont="1" applyBorder="1" applyAlignment="1">
      <alignment horizontal="right"/>
    </xf>
    <xf numFmtId="0" fontId="62" fillId="0" borderId="356" xfId="0" applyFont="1" applyBorder="1" applyAlignment="1">
      <alignment horizontal="center"/>
    </xf>
    <xf numFmtId="0" fontId="62" fillId="0" borderId="356" xfId="0" applyFont="1" applyBorder="1" applyAlignment="1"/>
    <xf numFmtId="0" fontId="62" fillId="0" borderId="355" xfId="0" applyFont="1" applyBorder="1" applyAlignment="1">
      <alignment horizontal="left" vertical="center" indent="1"/>
    </xf>
    <xf numFmtId="0" fontId="144" fillId="0" borderId="373" xfId="0" applyFont="1" applyBorder="1" applyAlignment="1">
      <alignment horizontal="left"/>
    </xf>
    <xf numFmtId="3" fontId="144" fillId="3" borderId="374" xfId="0" applyNumberFormat="1" applyFont="1" applyFill="1" applyBorder="1" applyAlignment="1">
      <alignment horizontal="right" vertical="center" indent="2"/>
    </xf>
    <xf numFmtId="0" fontId="62" fillId="0" borderId="374" xfId="0" applyFont="1" applyBorder="1" applyAlignment="1"/>
    <xf numFmtId="0" fontId="62" fillId="0" borderId="375" xfId="0" applyFont="1" applyBorder="1" applyAlignment="1"/>
    <xf numFmtId="0" fontId="79" fillId="98" borderId="376" xfId="0" applyFont="1" applyFill="1" applyBorder="1" applyAlignment="1">
      <alignment horizontal="center" vertical="center"/>
    </xf>
    <xf numFmtId="0" fontId="79" fillId="98" borderId="201" xfId="0" applyFont="1" applyFill="1" applyBorder="1" applyAlignment="1">
      <alignment horizontal="center" vertical="center"/>
    </xf>
    <xf numFmtId="3" fontId="62" fillId="3" borderId="119" xfId="0" applyNumberFormat="1" applyFont="1" applyFill="1" applyBorder="1" applyAlignment="1">
      <alignment horizontal="center" vertical="center"/>
    </xf>
    <xf numFmtId="0" fontId="70" fillId="0" borderId="355" xfId="0" applyFont="1" applyBorder="1" applyAlignment="1">
      <alignment horizontal="left" vertical="center" indent="1"/>
    </xf>
    <xf numFmtId="0" fontId="62" fillId="0" borderId="119" xfId="0" applyFont="1" applyBorder="1" applyAlignment="1"/>
    <xf numFmtId="0" fontId="142" fillId="2" borderId="355" xfId="0" applyFont="1" applyFill="1" applyBorder="1" applyAlignment="1">
      <alignment horizontal="left" vertical="center" indent="1"/>
    </xf>
    <xf numFmtId="0" fontId="142" fillId="2" borderId="384" xfId="0" applyFont="1" applyFill="1" applyBorder="1" applyAlignment="1">
      <alignment horizontal="left" vertical="center" indent="1"/>
    </xf>
    <xf numFmtId="0" fontId="62" fillId="0" borderId="385" xfId="0" applyFont="1" applyBorder="1" applyAlignment="1"/>
    <xf numFmtId="0" fontId="56" fillId="0" borderId="386" xfId="0" applyFont="1" applyBorder="1" applyAlignment="1"/>
    <xf numFmtId="0" fontId="81" fillId="0" borderId="0" xfId="0" applyFont="1"/>
    <xf numFmtId="0" fontId="109" fillId="3" borderId="355" xfId="0" applyFont="1" applyFill="1" applyBorder="1" applyAlignment="1">
      <alignment horizontal="center" vertical="center"/>
    </xf>
    <xf numFmtId="0" fontId="107" fillId="3" borderId="356" xfId="0" applyFont="1" applyFill="1" applyBorder="1" applyAlignment="1"/>
    <xf numFmtId="0" fontId="14" fillId="0" borderId="355" xfId="0" applyFont="1" applyBorder="1" applyAlignment="1"/>
    <xf numFmtId="0" fontId="14" fillId="0" borderId="0" xfId="0" applyFont="1" applyBorder="1" applyAlignment="1"/>
    <xf numFmtId="0" fontId="14" fillId="0" borderId="356" xfId="0" applyFont="1" applyBorder="1" applyAlignment="1"/>
    <xf numFmtId="0" fontId="14" fillId="0" borderId="0" xfId="0" applyFont="1" applyAlignment="1"/>
    <xf numFmtId="0" fontId="13" fillId="0" borderId="358" xfId="0" applyFont="1" applyBorder="1" applyAlignment="1"/>
    <xf numFmtId="0" fontId="142" fillId="2" borderId="357" xfId="0" applyFont="1" applyFill="1" applyBorder="1" applyAlignment="1">
      <alignment horizontal="left" vertical="center" indent="1"/>
    </xf>
    <xf numFmtId="3" fontId="62" fillId="3" borderId="38" xfId="0" applyNumberFormat="1" applyFont="1" applyFill="1" applyBorder="1" applyAlignment="1">
      <alignment horizontal="right" vertical="center" indent="2"/>
    </xf>
    <xf numFmtId="0" fontId="72" fillId="0" borderId="356" xfId="0" applyFont="1" applyBorder="1" applyAlignment="1"/>
    <xf numFmtId="0" fontId="142" fillId="2" borderId="361" xfId="0" applyFont="1" applyFill="1" applyBorder="1" applyAlignment="1">
      <alignment horizontal="left" vertical="center" indent="1"/>
    </xf>
    <xf numFmtId="0" fontId="13" fillId="0" borderId="0" xfId="0" applyFont="1" applyBorder="1" applyAlignment="1"/>
    <xf numFmtId="0" fontId="142" fillId="2" borderId="36" xfId="0" applyFont="1" applyFill="1" applyBorder="1" applyAlignment="1">
      <alignment horizontal="left" vertical="center" indent="1"/>
    </xf>
    <xf numFmtId="0" fontId="142" fillId="2" borderId="364" xfId="0" applyFont="1" applyFill="1" applyBorder="1" applyAlignment="1">
      <alignment horizontal="left" vertical="center" indent="1"/>
    </xf>
    <xf numFmtId="3" fontId="62" fillId="3" borderId="367" xfId="0" applyNumberFormat="1" applyFont="1" applyFill="1" applyBorder="1" applyAlignment="1">
      <alignment horizontal="center" vertical="center"/>
    </xf>
    <xf numFmtId="0" fontId="13" fillId="0" borderId="367" xfId="0" applyFont="1" applyBorder="1" applyAlignment="1"/>
    <xf numFmtId="0" fontId="62" fillId="0" borderId="358" xfId="0" applyFont="1" applyBorder="1" applyAlignment="1">
      <alignment horizontal="center"/>
    </xf>
    <xf numFmtId="0" fontId="63" fillId="0" borderId="359" xfId="0" applyFont="1" applyBorder="1" applyAlignment="1"/>
    <xf numFmtId="0" fontId="144" fillId="0" borderId="384" xfId="0" applyFont="1" applyBorder="1" applyAlignment="1">
      <alignment horizontal="left"/>
    </xf>
    <xf numFmtId="3" fontId="144" fillId="3" borderId="387" xfId="0" applyNumberFormat="1" applyFont="1" applyFill="1" applyBorder="1" applyAlignment="1">
      <alignment horizontal="right" vertical="center" indent="2"/>
    </xf>
    <xf numFmtId="0" fontId="62" fillId="0" borderId="387" xfId="0" applyFont="1" applyBorder="1" applyAlignment="1"/>
    <xf numFmtId="0" fontId="62" fillId="0" borderId="386" xfId="0" applyFont="1" applyBorder="1" applyAlignment="1"/>
    <xf numFmtId="0" fontId="141" fillId="97" borderId="389" xfId="0" applyFont="1" applyFill="1" applyBorder="1" applyAlignment="1">
      <alignment horizontal="center" vertical="center"/>
    </xf>
    <xf numFmtId="0" fontId="143" fillId="2" borderId="327" xfId="0" applyFont="1" applyFill="1" applyBorder="1" applyAlignment="1">
      <alignment horizontal="center" vertical="center"/>
    </xf>
    <xf numFmtId="0" fontId="143" fillId="2" borderId="359" xfId="0" applyFont="1" applyFill="1" applyBorder="1" applyAlignment="1">
      <alignment horizontal="center" vertical="center"/>
    </xf>
    <xf numFmtId="0" fontId="142" fillId="2" borderId="390" xfId="0" applyFont="1" applyFill="1" applyBorder="1" applyAlignment="1">
      <alignment horizontal="left" vertical="center" indent="1"/>
    </xf>
    <xf numFmtId="3" fontId="13" fillId="2" borderId="0" xfId="0" applyNumberFormat="1" applyFont="1" applyFill="1" applyBorder="1" applyAlignment="1">
      <alignment horizontal="center" vertical="center"/>
    </xf>
    <xf numFmtId="3" fontId="13" fillId="2" borderId="391" xfId="0" applyNumberFormat="1" applyFont="1" applyFill="1" applyBorder="1" applyAlignment="1">
      <alignment horizontal="center" vertical="center"/>
    </xf>
    <xf numFmtId="0" fontId="142" fillId="2" borderId="392" xfId="0" applyFont="1" applyFill="1" applyBorder="1" applyAlignment="1">
      <alignment horizontal="left" vertical="center" indent="1"/>
    </xf>
    <xf numFmtId="3" fontId="62" fillId="3" borderId="106" xfId="0" applyNumberFormat="1" applyFont="1" applyFill="1" applyBorder="1" applyAlignment="1">
      <alignment horizontal="right" vertical="center" indent="2"/>
    </xf>
    <xf numFmtId="0" fontId="142" fillId="2" borderId="393" xfId="0" applyFont="1" applyFill="1" applyBorder="1" applyAlignment="1">
      <alignment horizontal="left" vertical="center" indent="1"/>
    </xf>
    <xf numFmtId="3" fontId="55" fillId="2" borderId="394" xfId="0" applyNumberFormat="1" applyFont="1" applyFill="1" applyBorder="1" applyAlignment="1">
      <alignment horizontal="center" vertical="center"/>
    </xf>
    <xf numFmtId="0" fontId="72" fillId="0" borderId="368" xfId="0" applyFont="1" applyBorder="1" applyAlignment="1"/>
    <xf numFmtId="3" fontId="62" fillId="3" borderId="395" xfId="0" applyNumberFormat="1" applyFont="1" applyFill="1" applyBorder="1" applyAlignment="1">
      <alignment horizontal="right" vertical="center" indent="2"/>
    </xf>
    <xf numFmtId="3" fontId="70" fillId="3" borderId="0" xfId="0" applyNumberFormat="1" applyFont="1" applyFill="1" applyBorder="1" applyAlignment="1">
      <alignment horizontal="right" vertical="center" indent="3"/>
    </xf>
    <xf numFmtId="0" fontId="141" fillId="97" borderId="396" xfId="0" applyFont="1" applyFill="1" applyBorder="1" applyAlignment="1">
      <alignment horizontal="center" vertical="center"/>
    </xf>
    <xf numFmtId="3" fontId="141" fillId="97" borderId="397" xfId="0" applyNumberFormat="1" applyFont="1" applyFill="1" applyBorder="1" applyAlignment="1">
      <alignment horizontal="right" vertical="center" indent="2"/>
    </xf>
    <xf numFmtId="0" fontId="143" fillId="2" borderId="119" xfId="0" applyFont="1" applyFill="1" applyBorder="1" applyAlignment="1">
      <alignment horizontal="center" vertical="center"/>
    </xf>
    <xf numFmtId="0" fontId="143" fillId="2" borderId="356" xfId="0" applyFont="1" applyFill="1" applyBorder="1" applyAlignment="1">
      <alignment horizontal="center" vertical="center"/>
    </xf>
    <xf numFmtId="0" fontId="72" fillId="0" borderId="391" xfId="0" applyFont="1" applyBorder="1" applyAlignment="1"/>
    <xf numFmtId="3" fontId="144" fillId="0" borderId="0" xfId="0" applyNumberFormat="1" applyFont="1" applyBorder="1" applyAlignment="1">
      <alignment horizontal="center" vertical="center"/>
    </xf>
    <xf numFmtId="0" fontId="142" fillId="2" borderId="398" xfId="0" applyFont="1" applyFill="1" applyBorder="1" applyAlignment="1">
      <alignment horizontal="left" vertical="center" indent="1"/>
    </xf>
    <xf numFmtId="3" fontId="55" fillId="2" borderId="385" xfId="0" applyNumberFormat="1" applyFont="1" applyFill="1" applyBorder="1" applyAlignment="1">
      <alignment horizontal="center" vertical="center"/>
    </xf>
    <xf numFmtId="0" fontId="72" fillId="0" borderId="386" xfId="0" applyFont="1" applyBorder="1" applyAlignment="1"/>
    <xf numFmtId="0" fontId="137" fillId="0" borderId="359" xfId="0" applyFont="1" applyBorder="1" applyAlignment="1"/>
    <xf numFmtId="0" fontId="72" fillId="0" borderId="359" xfId="0" applyFont="1" applyBorder="1" applyAlignment="1"/>
    <xf numFmtId="0" fontId="62" fillId="0" borderId="399" xfId="0" applyFont="1" applyBorder="1" applyAlignment="1"/>
    <xf numFmtId="0" fontId="62" fillId="0" borderId="400" xfId="0" applyFont="1" applyBorder="1" applyAlignment="1">
      <alignment horizontal="center"/>
    </xf>
    <xf numFmtId="0" fontId="62" fillId="0" borderId="401" xfId="0" applyFont="1" applyBorder="1" applyAlignment="1">
      <alignment horizontal="center"/>
    </xf>
    <xf numFmtId="0" fontId="112" fillId="98" borderId="376" xfId="0" applyFont="1" applyFill="1" applyBorder="1" applyAlignment="1">
      <alignment horizontal="center" vertical="center"/>
    </xf>
    <xf numFmtId="0" fontId="112" fillId="98" borderId="201" xfId="0" applyFont="1" applyFill="1" applyBorder="1" applyAlignment="1">
      <alignment horizontal="center" vertical="center"/>
    </xf>
    <xf numFmtId="3" fontId="141" fillId="97" borderId="402" xfId="0" applyNumberFormat="1" applyFont="1" applyFill="1" applyBorder="1" applyAlignment="1">
      <alignment horizontal="right" vertical="center" indent="2"/>
    </xf>
    <xf numFmtId="0" fontId="142" fillId="2" borderId="403" xfId="0" applyFont="1" applyFill="1" applyBorder="1" applyAlignment="1">
      <alignment horizontal="left" vertical="center" indent="1"/>
    </xf>
    <xf numFmtId="3" fontId="62" fillId="3" borderId="387" xfId="0" applyNumberFormat="1" applyFont="1" applyFill="1" applyBorder="1" applyAlignment="1">
      <alignment horizontal="center" vertical="center"/>
    </xf>
    <xf numFmtId="17" fontId="3" fillId="0" borderId="0" xfId="0" applyNumberFormat="1" applyFont="1"/>
    <xf numFmtId="0" fontId="109" fillId="95" borderId="5" xfId="0" applyFont="1" applyFill="1" applyBorder="1" applyAlignment="1">
      <alignment horizontal="center" vertical="center" wrapText="1"/>
    </xf>
    <xf numFmtId="0" fontId="109" fillId="95" borderId="83" xfId="0" applyFont="1" applyFill="1" applyBorder="1" applyAlignment="1">
      <alignment horizontal="center" vertical="center" wrapText="1"/>
    </xf>
    <xf numFmtId="3" fontId="150" fillId="95" borderId="34" xfId="0" applyNumberFormat="1" applyFont="1" applyFill="1" applyBorder="1" applyAlignment="1">
      <alignment horizontal="right" vertical="center" indent="2"/>
    </xf>
    <xf numFmtId="169" fontId="150" fillId="95" borderId="34" xfId="1" applyNumberFormat="1" applyFont="1" applyFill="1" applyBorder="1" applyAlignment="1">
      <alignment horizontal="right" vertical="center" indent="2"/>
    </xf>
    <xf numFmtId="169" fontId="150" fillId="95" borderId="42" xfId="1" applyNumberFormat="1" applyFont="1" applyFill="1" applyBorder="1" applyAlignment="1">
      <alignment horizontal="right" vertical="center" indent="2"/>
    </xf>
    <xf numFmtId="0" fontId="150" fillId="95" borderId="100" xfId="0" applyFont="1" applyFill="1" applyBorder="1" applyAlignment="1">
      <alignment horizontal="left" vertical="center" indent="1"/>
    </xf>
    <xf numFmtId="3" fontId="150" fillId="95" borderId="3" xfId="0" applyNumberFormat="1" applyFont="1" applyFill="1" applyBorder="1" applyAlignment="1">
      <alignment horizontal="right" vertical="center" indent="2"/>
    </xf>
    <xf numFmtId="169" fontId="150" fillId="95" borderId="3" xfId="1" applyNumberFormat="1" applyFont="1" applyFill="1" applyBorder="1" applyAlignment="1">
      <alignment horizontal="right" vertical="center" indent="2"/>
    </xf>
    <xf numFmtId="169" fontId="150" fillId="95" borderId="85" xfId="1" applyNumberFormat="1" applyFont="1" applyFill="1" applyBorder="1" applyAlignment="1">
      <alignment horizontal="right" vertical="center" indent="2"/>
    </xf>
    <xf numFmtId="0" fontId="150" fillId="95" borderId="99" xfId="0" applyFont="1" applyFill="1" applyBorder="1" applyAlignment="1">
      <alignment horizontal="left" vertical="center" indent="1"/>
    </xf>
    <xf numFmtId="3" fontId="150" fillId="95" borderId="4" xfId="0" applyNumberFormat="1" applyFont="1" applyFill="1" applyBorder="1" applyAlignment="1">
      <alignment horizontal="right" vertical="center" indent="2"/>
    </xf>
    <xf numFmtId="169" fontId="150" fillId="95" borderId="4" xfId="1" applyNumberFormat="1" applyFont="1" applyFill="1" applyBorder="1" applyAlignment="1">
      <alignment horizontal="right" vertical="center" indent="2"/>
    </xf>
    <xf numFmtId="169" fontId="150" fillId="95" borderId="103" xfId="1" applyNumberFormat="1" applyFont="1" applyFill="1" applyBorder="1" applyAlignment="1">
      <alignment horizontal="right" vertical="center" indent="2"/>
    </xf>
    <xf numFmtId="0" fontId="109" fillId="100" borderId="162" xfId="0" applyFont="1" applyFill="1" applyBorder="1" applyAlignment="1">
      <alignment horizontal="center" vertical="center" wrapText="1"/>
    </xf>
    <xf numFmtId="0" fontId="57" fillId="3" borderId="38" xfId="0" applyFont="1" applyFill="1" applyBorder="1" applyAlignment="1">
      <alignment horizontal="left" vertical="center" indent="1"/>
    </xf>
    <xf numFmtId="0" fontId="51" fillId="0" borderId="0" xfId="0" applyFont="1"/>
    <xf numFmtId="0" fontId="13" fillId="2" borderId="189" xfId="0" applyFont="1" applyFill="1" applyBorder="1" applyAlignment="1">
      <alignment horizontal="right" vertical="center" indent="4"/>
    </xf>
    <xf numFmtId="169" fontId="13" fillId="2" borderId="190" xfId="1" applyNumberFormat="1" applyFont="1" applyFill="1" applyBorder="1" applyAlignment="1">
      <alignment horizontal="right" vertical="center" indent="4"/>
    </xf>
    <xf numFmtId="0" fontId="13" fillId="97" borderId="6" xfId="0" applyFont="1" applyFill="1" applyBorder="1" applyAlignment="1">
      <alignment horizontal="right" vertical="center" indent="4"/>
    </xf>
    <xf numFmtId="169" fontId="13" fillId="97" borderId="191" xfId="1" applyNumberFormat="1" applyFont="1" applyFill="1" applyBorder="1" applyAlignment="1">
      <alignment horizontal="right" vertical="center" indent="4"/>
    </xf>
    <xf numFmtId="0" fontId="13" fillId="2" borderId="6" xfId="0" applyFont="1" applyFill="1" applyBorder="1" applyAlignment="1">
      <alignment horizontal="right" vertical="center" indent="4"/>
    </xf>
    <xf numFmtId="169" fontId="13" fillId="2" borderId="191" xfId="1" applyNumberFormat="1" applyFont="1" applyFill="1" applyBorder="1" applyAlignment="1">
      <alignment horizontal="right" vertical="center" indent="4"/>
    </xf>
    <xf numFmtId="0" fontId="13" fillId="97" borderId="193" xfId="0" applyFont="1" applyFill="1" applyBorder="1" applyAlignment="1">
      <alignment horizontal="right" vertical="center" indent="4"/>
    </xf>
    <xf numFmtId="169" fontId="13" fillId="97" borderId="194" xfId="1" applyNumberFormat="1" applyFont="1" applyFill="1" applyBorder="1" applyAlignment="1">
      <alignment horizontal="right" vertical="center" indent="4"/>
    </xf>
    <xf numFmtId="3" fontId="13" fillId="0" borderId="160" xfId="0" applyNumberFormat="1" applyFont="1" applyBorder="1" applyAlignment="1">
      <alignment horizontal="right" vertical="center" indent="2"/>
    </xf>
    <xf numFmtId="0" fontId="109" fillId="100" borderId="163" xfId="0" applyFont="1" applyFill="1" applyBorder="1" applyAlignment="1">
      <alignment horizontal="center" vertical="center" wrapText="1"/>
    </xf>
    <xf numFmtId="0" fontId="109" fillId="100" borderId="164" xfId="0" applyFont="1" applyFill="1" applyBorder="1" applyAlignment="1">
      <alignment horizontal="center" vertical="center" wrapText="1"/>
    </xf>
    <xf numFmtId="0" fontId="109" fillId="100" borderId="84" xfId="0" applyFont="1" applyFill="1" applyBorder="1" applyAlignment="1">
      <alignment horizontal="center" vertical="center" wrapText="1"/>
    </xf>
    <xf numFmtId="0" fontId="79" fillId="100" borderId="66" xfId="0" applyFont="1" applyFill="1" applyBorder="1" applyAlignment="1">
      <alignment horizontal="left" vertical="center" indent="1"/>
    </xf>
    <xf numFmtId="3" fontId="64" fillId="0" borderId="293" xfId="0" applyNumberFormat="1" applyFont="1" applyBorder="1" applyAlignment="1">
      <alignment horizontal="center" vertical="center"/>
    </xf>
    <xf numFmtId="3" fontId="64" fillId="97" borderId="293" xfId="0" applyNumberFormat="1" applyFont="1" applyFill="1" applyBorder="1" applyAlignment="1">
      <alignment horizontal="center" vertical="center"/>
    </xf>
    <xf numFmtId="0" fontId="79" fillId="100" borderId="80" xfId="0" applyFont="1" applyFill="1" applyBorder="1" applyAlignment="1">
      <alignment horizontal="right" vertical="center" indent="4"/>
    </xf>
    <xf numFmtId="169" fontId="79" fillId="100" borderId="80" xfId="0" applyNumberFormat="1" applyFont="1" applyFill="1" applyBorder="1" applyAlignment="1">
      <alignment horizontal="right" vertical="center" indent="4"/>
    </xf>
    <xf numFmtId="3" fontId="79" fillId="100" borderId="80" xfId="0" applyNumberFormat="1" applyFont="1" applyFill="1" applyBorder="1" applyAlignment="1">
      <alignment horizontal="right" vertical="center" indent="4"/>
    </xf>
    <xf numFmtId="169" fontId="79" fillId="100" borderId="81" xfId="0" applyNumberFormat="1" applyFont="1" applyFill="1" applyBorder="1" applyAlignment="1">
      <alignment horizontal="right" vertical="center" indent="4"/>
    </xf>
    <xf numFmtId="0" fontId="1" fillId="2" borderId="203" xfId="0" applyFont="1" applyFill="1" applyBorder="1" applyAlignment="1">
      <alignment horizontal="left" vertical="center" indent="1"/>
    </xf>
    <xf numFmtId="0" fontId="1" fillId="2" borderId="202" xfId="0" applyFont="1" applyFill="1" applyBorder="1" applyAlignment="1">
      <alignment horizontal="right" vertical="center" indent="4"/>
    </xf>
    <xf numFmtId="169" fontId="1" fillId="2" borderId="202" xfId="1" applyNumberFormat="1" applyFont="1" applyFill="1" applyBorder="1" applyAlignment="1">
      <alignment horizontal="right" vertical="center" indent="4"/>
    </xf>
    <xf numFmtId="169" fontId="1" fillId="2" borderId="204" xfId="1" applyNumberFormat="1" applyFont="1" applyFill="1" applyBorder="1" applyAlignment="1">
      <alignment horizontal="right" vertical="center" indent="4"/>
    </xf>
    <xf numFmtId="0" fontId="1" fillId="97" borderId="205" xfId="0" applyFont="1" applyFill="1" applyBorder="1" applyAlignment="1">
      <alignment horizontal="left" vertical="center" indent="1"/>
    </xf>
    <xf numFmtId="0" fontId="1" fillId="97" borderId="160" xfId="0" applyFont="1" applyFill="1" applyBorder="1" applyAlignment="1">
      <alignment horizontal="right" vertical="center" indent="4"/>
    </xf>
    <xf numFmtId="169" fontId="1" fillId="97" borderId="160" xfId="1" applyNumberFormat="1" applyFont="1" applyFill="1" applyBorder="1" applyAlignment="1">
      <alignment horizontal="right" vertical="center" indent="4"/>
    </xf>
    <xf numFmtId="169" fontId="1" fillId="97" borderId="206" xfId="1" applyNumberFormat="1" applyFont="1" applyFill="1" applyBorder="1" applyAlignment="1">
      <alignment horizontal="right" vertical="center" indent="4"/>
    </xf>
    <xf numFmtId="0" fontId="1" fillId="2" borderId="205" xfId="0" applyFont="1" applyFill="1" applyBorder="1" applyAlignment="1">
      <alignment horizontal="left" vertical="center" indent="1"/>
    </xf>
    <xf numFmtId="0" fontId="1" fillId="2" borderId="160" xfId="0" applyFont="1" applyFill="1" applyBorder="1" applyAlignment="1">
      <alignment horizontal="right" vertical="center" indent="4"/>
    </xf>
    <xf numFmtId="169" fontId="1" fillId="2" borderId="160" xfId="1" applyNumberFormat="1" applyFont="1" applyFill="1" applyBorder="1" applyAlignment="1">
      <alignment horizontal="right" vertical="center" indent="4"/>
    </xf>
    <xf numFmtId="169" fontId="1" fillId="2" borderId="206" xfId="1" applyNumberFormat="1" applyFont="1" applyFill="1" applyBorder="1" applyAlignment="1">
      <alignment horizontal="right" vertical="center" indent="4"/>
    </xf>
    <xf numFmtId="0" fontId="1" fillId="2" borderId="207" xfId="0" applyFont="1" applyFill="1" applyBorder="1" applyAlignment="1">
      <alignment horizontal="left" vertical="center" indent="1"/>
    </xf>
    <xf numFmtId="0" fontId="1" fillId="2" borderId="198" xfId="0" applyFont="1" applyFill="1" applyBorder="1" applyAlignment="1">
      <alignment horizontal="right" vertical="center" indent="4"/>
    </xf>
    <xf numFmtId="169" fontId="1" fillId="2" borderId="198" xfId="1" applyNumberFormat="1" applyFont="1" applyFill="1" applyBorder="1" applyAlignment="1">
      <alignment horizontal="right" vertical="center" indent="4"/>
    </xf>
    <xf numFmtId="169" fontId="1" fillId="2" borderId="208" xfId="1" applyNumberFormat="1" applyFont="1" applyFill="1" applyBorder="1" applyAlignment="1">
      <alignment horizontal="right" vertical="center" indent="4"/>
    </xf>
    <xf numFmtId="3" fontId="86" fillId="0" borderId="0" xfId="0" applyNumberFormat="1" applyFont="1"/>
    <xf numFmtId="1" fontId="2" fillId="0" borderId="0" xfId="0" applyNumberFormat="1" applyFont="1" applyAlignment="1">
      <alignment horizontal="center" vertical="center"/>
    </xf>
    <xf numFmtId="1" fontId="86" fillId="0" borderId="0" xfId="0" applyNumberFormat="1" applyFont="1"/>
    <xf numFmtId="1" fontId="2" fillId="0" borderId="0" xfId="0" applyNumberFormat="1" applyFont="1" applyAlignment="1">
      <alignment horizontal="right" vertical="center"/>
    </xf>
    <xf numFmtId="1" fontId="0" fillId="0" borderId="0" xfId="0" applyNumberFormat="1"/>
    <xf numFmtId="0" fontId="109" fillId="98" borderId="48" xfId="0" applyFont="1" applyFill="1" applyBorder="1" applyAlignment="1">
      <alignment horizontal="center" vertical="center" wrapText="1"/>
    </xf>
    <xf numFmtId="0" fontId="79" fillId="98" borderId="48" xfId="0" applyFont="1" applyFill="1" applyBorder="1" applyAlignment="1">
      <alignment horizontal="center" vertical="center" wrapText="1"/>
    </xf>
    <xf numFmtId="0" fontId="79" fillId="98" borderId="231" xfId="0" applyFont="1" applyFill="1" applyBorder="1" applyAlignment="1">
      <alignment horizontal="center" vertical="center" wrapText="1"/>
    </xf>
    <xf numFmtId="0" fontId="109" fillId="98" borderId="210" xfId="0" applyFont="1" applyFill="1" applyBorder="1" applyAlignment="1">
      <alignment horizontal="center" vertical="center" wrapText="1"/>
    </xf>
    <xf numFmtId="3" fontId="64" fillId="97" borderId="320" xfId="0" applyNumberFormat="1" applyFont="1" applyFill="1" applyBorder="1" applyAlignment="1">
      <alignment horizontal="left" vertical="center" indent="1"/>
    </xf>
    <xf numFmtId="0" fontId="112" fillId="98" borderId="48" xfId="0" applyFont="1" applyFill="1" applyBorder="1" applyAlignment="1">
      <alignment horizontal="center" vertical="center" wrapText="1"/>
    </xf>
    <xf numFmtId="3" fontId="136" fillId="98" borderId="213" xfId="0" applyNumberFormat="1" applyFont="1" applyFill="1" applyBorder="1" applyAlignment="1">
      <alignment horizontal="right" vertical="center" indent="1"/>
    </xf>
    <xf numFmtId="169" fontId="136" fillId="98" borderId="217" xfId="1" applyNumberFormat="1" applyFont="1" applyFill="1" applyBorder="1" applyAlignment="1">
      <alignment horizontal="right" vertical="center" indent="1"/>
    </xf>
    <xf numFmtId="169" fontId="136" fillId="98" borderId="216" xfId="1" applyNumberFormat="1" applyFont="1" applyFill="1" applyBorder="1" applyAlignment="1">
      <alignment horizontal="right" vertical="center" indent="1"/>
    </xf>
    <xf numFmtId="3" fontId="64" fillId="0" borderId="320" xfId="0" applyNumberFormat="1" applyFont="1" applyBorder="1" applyAlignment="1">
      <alignment horizontal="left" vertical="center" indent="1"/>
    </xf>
    <xf numFmtId="3" fontId="64" fillId="0" borderId="237" xfId="0" applyNumberFormat="1" applyFont="1" applyBorder="1" applyAlignment="1">
      <alignment horizontal="right" vertical="center" indent="1"/>
    </xf>
    <xf numFmtId="3" fontId="64" fillId="97" borderId="237" xfId="0" applyNumberFormat="1" applyFont="1" applyFill="1" applyBorder="1" applyAlignment="1">
      <alignment horizontal="right" vertical="center" indent="1"/>
    </xf>
    <xf numFmtId="3" fontId="64" fillId="101" borderId="237" xfId="0" applyNumberFormat="1" applyFont="1" applyFill="1" applyBorder="1" applyAlignment="1">
      <alignment horizontal="right" vertical="center" indent="1"/>
    </xf>
    <xf numFmtId="3" fontId="136" fillId="98" borderId="214" xfId="0" applyNumberFormat="1" applyFont="1" applyFill="1" applyBorder="1" applyAlignment="1">
      <alignment horizontal="right" vertical="center" indent="1"/>
    </xf>
    <xf numFmtId="3" fontId="112" fillId="100" borderId="53" xfId="0" applyNumberFormat="1" applyFont="1" applyFill="1" applyBorder="1" applyAlignment="1">
      <alignment horizontal="right" vertical="center" indent="2"/>
    </xf>
    <xf numFmtId="3" fontId="112" fillId="100" borderId="221" xfId="0" applyNumberFormat="1" applyFont="1" applyFill="1" applyBorder="1" applyAlignment="1">
      <alignment horizontal="right" vertical="center" indent="2"/>
    </xf>
    <xf numFmtId="169" fontId="112" fillId="100" borderId="246" xfId="1" applyNumberFormat="1" applyFont="1" applyFill="1" applyBorder="1" applyAlignment="1">
      <alignment horizontal="right" vertical="center" indent="2"/>
    </xf>
    <xf numFmtId="169" fontId="112" fillId="100" borderId="235" xfId="1" applyNumberFormat="1" applyFont="1" applyFill="1" applyBorder="1" applyAlignment="1">
      <alignment horizontal="right" vertical="center" indent="2"/>
    </xf>
    <xf numFmtId="0" fontId="109" fillId="100" borderId="1" xfId="2" applyFont="1" applyFill="1" applyBorder="1" applyAlignment="1">
      <alignment horizontal="center" vertical="center" wrapText="1"/>
    </xf>
    <xf numFmtId="0" fontId="109" fillId="100" borderId="244" xfId="2" applyFont="1" applyFill="1" applyBorder="1" applyAlignment="1">
      <alignment horizontal="center" vertical="center" wrapText="1"/>
    </xf>
    <xf numFmtId="0" fontId="13" fillId="0" borderId="240" xfId="0" applyFont="1" applyBorder="1" applyAlignment="1">
      <alignment horizontal="left" vertical="center" indent="1"/>
    </xf>
    <xf numFmtId="3" fontId="13" fillId="0" borderId="241" xfId="0" applyNumberFormat="1" applyFont="1" applyBorder="1" applyAlignment="1">
      <alignment horizontal="right" vertical="center" indent="2"/>
    </xf>
    <xf numFmtId="3" fontId="13" fillId="0" borderId="242" xfId="0" applyNumberFormat="1" applyFont="1" applyBorder="1" applyAlignment="1">
      <alignment horizontal="right" vertical="center" indent="2"/>
    </xf>
    <xf numFmtId="0" fontId="13" fillId="97" borderId="180" xfId="0" applyFont="1" applyFill="1" applyBorder="1" applyAlignment="1">
      <alignment horizontal="left" vertical="center" indent="1"/>
    </xf>
    <xf numFmtId="3" fontId="13" fillId="97" borderId="160" xfId="0" applyNumberFormat="1" applyFont="1" applyFill="1" applyBorder="1" applyAlignment="1">
      <alignment horizontal="right" vertical="center" indent="2"/>
    </xf>
    <xf numFmtId="3" fontId="13" fillId="97" borderId="165" xfId="0" applyNumberFormat="1" applyFont="1" applyFill="1" applyBorder="1" applyAlignment="1">
      <alignment horizontal="right" vertical="center" indent="2"/>
    </xf>
    <xf numFmtId="0" fontId="13" fillId="0" borderId="180" xfId="0" applyFont="1" applyBorder="1" applyAlignment="1">
      <alignment horizontal="left" vertical="center" indent="1"/>
    </xf>
    <xf numFmtId="3" fontId="13" fillId="0" borderId="165" xfId="0" applyNumberFormat="1" applyFont="1" applyBorder="1" applyAlignment="1">
      <alignment horizontal="right" vertical="center" indent="2"/>
    </xf>
    <xf numFmtId="0" fontId="13" fillId="101" borderId="211" xfId="0" applyFont="1" applyFill="1" applyBorder="1" applyAlignment="1">
      <alignment horizontal="left" vertical="center" indent="1"/>
    </xf>
    <xf numFmtId="0" fontId="1" fillId="0" borderId="180" xfId="0" applyFont="1" applyBorder="1" applyAlignment="1">
      <alignment horizontal="left" vertical="center" indent="1"/>
    </xf>
    <xf numFmtId="0" fontId="1" fillId="97" borderId="180" xfId="0" applyFont="1" applyFill="1" applyBorder="1" applyAlignment="1">
      <alignment horizontal="left" vertical="center" indent="1"/>
    </xf>
    <xf numFmtId="0" fontId="152" fillId="100" borderId="59" xfId="0" applyNumberFormat="1" applyFont="1" applyFill="1" applyBorder="1" applyAlignment="1">
      <alignment horizontal="left" vertical="center" indent="1"/>
    </xf>
    <xf numFmtId="3" fontId="152" fillId="100" borderId="3" xfId="0" applyNumberFormat="1" applyFont="1" applyFill="1" applyBorder="1" applyAlignment="1">
      <alignment horizontal="right" vertical="center" indent="1"/>
    </xf>
    <xf numFmtId="3" fontId="152" fillId="100" borderId="4" xfId="0" applyNumberFormat="1" applyFont="1" applyFill="1" applyBorder="1" applyAlignment="1">
      <alignment horizontal="right" vertical="center" indent="1"/>
    </xf>
    <xf numFmtId="169" fontId="152" fillId="100" borderId="103" xfId="1" applyNumberFormat="1" applyFont="1" applyFill="1" applyBorder="1" applyAlignment="1">
      <alignment horizontal="right" vertical="center" indent="1"/>
    </xf>
    <xf numFmtId="169" fontId="152" fillId="100" borderId="1" xfId="1" applyNumberFormat="1" applyFont="1" applyFill="1" applyBorder="1" applyAlignment="1">
      <alignment horizontal="right" vertical="center" indent="1"/>
    </xf>
    <xf numFmtId="169" fontId="152" fillId="100" borderId="4" xfId="1" applyNumberFormat="1" applyFont="1" applyFill="1" applyBorder="1" applyAlignment="1">
      <alignment horizontal="right" vertical="center" indent="1"/>
    </xf>
    <xf numFmtId="169" fontId="152" fillId="100" borderId="76" xfId="1" applyNumberFormat="1" applyFont="1" applyFill="1" applyBorder="1" applyAlignment="1">
      <alignment horizontal="right" vertical="center" indent="1"/>
    </xf>
    <xf numFmtId="169" fontId="152" fillId="100" borderId="77" xfId="1" applyNumberFormat="1" applyFont="1" applyFill="1" applyBorder="1" applyAlignment="1">
      <alignment horizontal="right" vertical="center" indent="1"/>
    </xf>
    <xf numFmtId="0" fontId="152" fillId="100" borderId="75" xfId="0" applyNumberFormat="1" applyFont="1" applyFill="1" applyBorder="1" applyAlignment="1">
      <alignment horizontal="left" vertical="center" indent="1"/>
    </xf>
    <xf numFmtId="0" fontId="77" fillId="0" borderId="0" xfId="0" applyNumberFormat="1" applyFont="1" applyFill="1" applyBorder="1" applyAlignment="1">
      <alignment horizontal="justify" vertical="center" wrapText="1"/>
    </xf>
    <xf numFmtId="0" fontId="77" fillId="0" borderId="0" xfId="0" applyNumberFormat="1" applyFont="1" applyFill="1" applyBorder="1" applyAlignment="1"/>
    <xf numFmtId="169" fontId="77" fillId="0" borderId="0" xfId="1" applyNumberFormat="1" applyFont="1" applyFill="1" applyBorder="1" applyAlignment="1"/>
    <xf numFmtId="0" fontId="149" fillId="100" borderId="59" xfId="0" applyNumberFormat="1" applyFont="1" applyFill="1" applyBorder="1" applyAlignment="1">
      <alignment horizontal="left" vertical="center" indent="1"/>
    </xf>
    <xf numFmtId="3" fontId="149" fillId="100" borderId="3" xfId="0" applyNumberFormat="1" applyFont="1" applyFill="1" applyBorder="1" applyAlignment="1">
      <alignment horizontal="right" vertical="center" indent="1"/>
    </xf>
    <xf numFmtId="169" fontId="149" fillId="100" borderId="60" xfId="1" applyNumberFormat="1" applyFont="1" applyFill="1" applyBorder="1" applyAlignment="1">
      <alignment horizontal="right" vertical="center" indent="1"/>
    </xf>
    <xf numFmtId="0" fontId="77" fillId="3" borderId="0" xfId="0" applyNumberFormat="1" applyFont="1" applyFill="1" applyBorder="1" applyAlignment="1">
      <alignment vertical="center"/>
    </xf>
    <xf numFmtId="0" fontId="149" fillId="100" borderId="41" xfId="0" applyNumberFormat="1" applyFont="1" applyFill="1" applyBorder="1" applyAlignment="1">
      <alignment horizontal="left" vertical="center" indent="1"/>
    </xf>
    <xf numFmtId="169" fontId="149" fillId="100" borderId="34" xfId="1" applyNumberFormat="1" applyFont="1" applyFill="1" applyBorder="1" applyAlignment="1">
      <alignment horizontal="right" vertical="center" indent="1"/>
    </xf>
    <xf numFmtId="169" fontId="149" fillId="100" borderId="42" xfId="1" applyNumberFormat="1" applyFont="1" applyFill="1" applyBorder="1" applyAlignment="1">
      <alignment horizontal="right" vertical="center" indent="1"/>
    </xf>
    <xf numFmtId="0" fontId="136" fillId="100" borderId="5" xfId="0" applyNumberFormat="1" applyFont="1" applyFill="1" applyBorder="1" applyAlignment="1">
      <alignment horizontal="center" vertical="center" wrapText="1"/>
    </xf>
    <xf numFmtId="0" fontId="148" fillId="100" borderId="5" xfId="0" applyNumberFormat="1" applyFont="1" applyFill="1" applyBorder="1" applyAlignment="1">
      <alignment horizontal="center" vertical="center" wrapText="1"/>
    </xf>
    <xf numFmtId="169" fontId="1" fillId="0" borderId="0" xfId="1" applyNumberFormat="1" applyFont="1"/>
    <xf numFmtId="0" fontId="13" fillId="0" borderId="0" xfId="0" applyFont="1"/>
    <xf numFmtId="3" fontId="136" fillId="98" borderId="53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52" fillId="98" borderId="123" xfId="0" applyFont="1" applyFill="1" applyBorder="1" applyAlignment="1">
      <alignment horizontal="center" vertical="center"/>
    </xf>
    <xf numFmtId="0" fontId="152" fillId="98" borderId="111" xfId="0" applyFont="1" applyFill="1" applyBorder="1" applyAlignment="1">
      <alignment horizontal="center" vertical="center"/>
    </xf>
    <xf numFmtId="0" fontId="152" fillId="98" borderId="107" xfId="0" applyFont="1" applyFill="1" applyBorder="1" applyAlignment="1">
      <alignment horizontal="center" vertical="center"/>
    </xf>
    <xf numFmtId="0" fontId="153" fillId="0" borderId="311" xfId="0" applyFont="1" applyBorder="1" applyAlignment="1">
      <alignment horizontal="left" vertical="center" indent="1"/>
    </xf>
    <xf numFmtId="3" fontId="153" fillId="0" borderId="312" xfId="0" applyNumberFormat="1" applyFont="1" applyBorder="1" applyAlignment="1">
      <alignment horizontal="right" vertical="center" indent="2"/>
    </xf>
    <xf numFmtId="0" fontId="153" fillId="97" borderId="311" xfId="0" applyFont="1" applyFill="1" applyBorder="1" applyAlignment="1">
      <alignment horizontal="left" vertical="center" indent="1"/>
    </xf>
    <xf numFmtId="3" fontId="153" fillId="97" borderId="312" xfId="0" applyNumberFormat="1" applyFont="1" applyFill="1" applyBorder="1" applyAlignment="1">
      <alignment horizontal="right" vertical="center" indent="2"/>
    </xf>
    <xf numFmtId="0" fontId="152" fillId="98" borderId="69" xfId="0" applyFont="1" applyFill="1" applyBorder="1" applyAlignment="1">
      <alignment horizontal="left" vertical="center" indent="1"/>
    </xf>
    <xf numFmtId="3" fontId="152" fillId="98" borderId="413" xfId="0" applyNumberFormat="1" applyFont="1" applyFill="1" applyBorder="1" applyAlignment="1">
      <alignment horizontal="right" vertical="center" indent="2"/>
    </xf>
    <xf numFmtId="3" fontId="1" fillId="0" borderId="0" xfId="0" applyNumberFormat="1" applyFont="1"/>
    <xf numFmtId="0" fontId="154" fillId="100" borderId="62" xfId="0" applyFont="1" applyFill="1" applyBorder="1" applyAlignment="1">
      <alignment horizontal="center" vertical="center" wrapText="1" readingOrder="1"/>
    </xf>
    <xf numFmtId="3" fontId="148" fillId="100" borderId="49" xfId="0" applyNumberFormat="1" applyFont="1" applyFill="1" applyBorder="1" applyAlignment="1">
      <alignment horizontal="left" vertical="center" wrapText="1" indent="1"/>
    </xf>
    <xf numFmtId="3" fontId="148" fillId="100" borderId="2" xfId="0" applyNumberFormat="1" applyFont="1" applyFill="1" applyBorder="1" applyAlignment="1">
      <alignment horizontal="right" vertical="center" wrapText="1" indent="1" readingOrder="1"/>
    </xf>
    <xf numFmtId="169" fontId="148" fillId="100" borderId="1" xfId="1" applyNumberFormat="1" applyFont="1" applyFill="1" applyBorder="1" applyAlignment="1">
      <alignment horizontal="right" vertical="center" wrapText="1" indent="1" readingOrder="1"/>
    </xf>
    <xf numFmtId="3" fontId="88" fillId="97" borderId="419" xfId="0" applyNumberFormat="1" applyFont="1" applyFill="1" applyBorder="1" applyAlignment="1">
      <alignment horizontal="right" vertical="center" indent="1"/>
    </xf>
    <xf numFmtId="3" fontId="88" fillId="3" borderId="419" xfId="0" applyNumberFormat="1" applyFont="1" applyFill="1" applyBorder="1" applyAlignment="1">
      <alignment horizontal="right" vertical="center" indent="1"/>
    </xf>
    <xf numFmtId="3" fontId="62" fillId="0" borderId="0" xfId="0" applyNumberFormat="1" applyFont="1"/>
    <xf numFmtId="169" fontId="88" fillId="97" borderId="420" xfId="1" applyNumberFormat="1" applyFont="1" applyFill="1" applyBorder="1" applyAlignment="1">
      <alignment horizontal="right" vertical="center" indent="1"/>
    </xf>
    <xf numFmtId="169" fontId="88" fillId="3" borderId="420" xfId="1" applyNumberFormat="1" applyFont="1" applyFill="1" applyBorder="1" applyAlignment="1">
      <alignment horizontal="right" vertical="center" indent="1"/>
    </xf>
    <xf numFmtId="169" fontId="148" fillId="100" borderId="430" xfId="1" applyNumberFormat="1" applyFont="1" applyFill="1" applyBorder="1" applyAlignment="1">
      <alignment horizontal="right" vertical="center" wrapText="1" indent="1" readingOrder="1"/>
    </xf>
    <xf numFmtId="0" fontId="62" fillId="98" borderId="431" xfId="0" applyFont="1" applyFill="1" applyBorder="1"/>
    <xf numFmtId="0" fontId="62" fillId="98" borderId="308" xfId="0" applyFont="1" applyFill="1" applyBorder="1"/>
    <xf numFmtId="0" fontId="109" fillId="100" borderId="79" xfId="0" applyFont="1" applyFill="1" applyBorder="1" applyAlignment="1">
      <alignment horizontal="center" vertical="center" wrapText="1"/>
    </xf>
    <xf numFmtId="0" fontId="79" fillId="100" borderId="164" xfId="0" applyFont="1" applyFill="1" applyBorder="1" applyAlignment="1">
      <alignment horizontal="center" vertical="center" wrapText="1"/>
    </xf>
    <xf numFmtId="0" fontId="79" fillId="100" borderId="163" xfId="0" applyFont="1" applyFill="1" applyBorder="1" applyAlignment="1">
      <alignment horizontal="center" vertical="center" wrapText="1"/>
    </xf>
    <xf numFmtId="0" fontId="88" fillId="0" borderId="252" xfId="0" applyFont="1" applyBorder="1" applyAlignment="1">
      <alignment horizontal="left" vertical="center" indent="1"/>
    </xf>
    <xf numFmtId="0" fontId="88" fillId="97" borderId="254" xfId="0" applyFont="1" applyFill="1" applyBorder="1" applyAlignment="1">
      <alignment horizontal="left" vertical="center" indent="1"/>
    </xf>
    <xf numFmtId="0" fontId="88" fillId="0" borderId="254" xfId="0" applyFont="1" applyBorder="1" applyAlignment="1">
      <alignment horizontal="left" vertical="center" indent="1"/>
    </xf>
    <xf numFmtId="0" fontId="68" fillId="97" borderId="254" xfId="0" applyFont="1" applyFill="1" applyBorder="1" applyAlignment="1">
      <alignment horizontal="left" vertical="center" indent="1"/>
    </xf>
    <xf numFmtId="0" fontId="68" fillId="101" borderId="254" xfId="0" applyFont="1" applyFill="1" applyBorder="1" applyAlignment="1">
      <alignment horizontal="left" vertical="center" indent="1"/>
    </xf>
    <xf numFmtId="3" fontId="109" fillId="98" borderId="48" xfId="227" applyNumberFormat="1" applyFont="1" applyFill="1" applyBorder="1" applyAlignment="1">
      <alignment horizontal="center" vertical="center"/>
    </xf>
    <xf numFmtId="3" fontId="109" fillId="98" borderId="287" xfId="227" applyNumberFormat="1" applyFont="1" applyFill="1" applyBorder="1" applyAlignment="1">
      <alignment horizontal="center" vertical="center"/>
    </xf>
    <xf numFmtId="0" fontId="112" fillId="98" borderId="313" xfId="0" applyFont="1" applyFill="1" applyBorder="1" applyAlignment="1">
      <alignment horizontal="left" vertical="center" indent="1"/>
    </xf>
    <xf numFmtId="3" fontId="112" fillId="98" borderId="296" xfId="0" applyNumberFormat="1" applyFont="1" applyFill="1" applyBorder="1" applyAlignment="1">
      <alignment horizontal="right" vertical="center" indent="2"/>
    </xf>
    <xf numFmtId="3" fontId="112" fillId="98" borderId="317" xfId="0" applyNumberFormat="1" applyFont="1" applyFill="1" applyBorder="1" applyAlignment="1">
      <alignment horizontal="right" vertical="center" indent="2"/>
    </xf>
    <xf numFmtId="169" fontId="112" fillId="98" borderId="1" xfId="1" applyNumberFormat="1" applyFont="1" applyFill="1" applyBorder="1" applyAlignment="1">
      <alignment horizontal="right" vertical="center" indent="1"/>
    </xf>
    <xf numFmtId="169" fontId="112" fillId="98" borderId="271" xfId="1" applyNumberFormat="1" applyFont="1" applyFill="1" applyBorder="1" applyAlignment="1">
      <alignment horizontal="right" vertical="center" indent="1"/>
    </xf>
    <xf numFmtId="0" fontId="88" fillId="0" borderId="180" xfId="0" applyFont="1" applyBorder="1" applyAlignment="1">
      <alignment horizontal="left" vertical="center" indent="1"/>
    </xf>
    <xf numFmtId="0" fontId="88" fillId="97" borderId="180" xfId="0" applyFont="1" applyFill="1" applyBorder="1" applyAlignment="1">
      <alignment horizontal="left" vertical="center" indent="1"/>
    </xf>
    <xf numFmtId="0" fontId="79" fillId="98" borderId="310" xfId="0" applyFont="1" applyFill="1" applyBorder="1" applyAlignment="1">
      <alignment horizontal="center" vertical="center" wrapText="1"/>
    </xf>
    <xf numFmtId="0" fontId="15" fillId="100" borderId="116" xfId="0" applyFont="1" applyFill="1" applyBorder="1" applyAlignment="1">
      <alignment horizontal="center" vertical="center" wrapText="1"/>
    </xf>
    <xf numFmtId="3" fontId="79" fillId="98" borderId="67" xfId="1616" applyNumberFormat="1" applyFont="1" applyFill="1" applyBorder="1" applyAlignment="1">
      <alignment horizontal="right" vertical="center" indent="2"/>
    </xf>
    <xf numFmtId="3" fontId="79" fillId="100" borderId="174" xfId="227" applyNumberFormat="1" applyFont="1" applyFill="1" applyBorder="1" applyAlignment="1">
      <alignment horizontal="right" vertical="center" indent="2"/>
    </xf>
    <xf numFmtId="169" fontId="79" fillId="100" borderId="174" xfId="1" applyNumberFormat="1" applyFont="1" applyFill="1" applyBorder="1" applyAlignment="1">
      <alignment horizontal="right" vertical="center" indent="2"/>
    </xf>
    <xf numFmtId="169" fontId="79" fillId="100" borderId="175" xfId="1" applyNumberFormat="1" applyFont="1" applyFill="1" applyBorder="1" applyAlignment="1">
      <alignment horizontal="right" vertical="center" indent="2"/>
    </xf>
    <xf numFmtId="0" fontId="109" fillId="100" borderId="78" xfId="0" applyFont="1" applyFill="1" applyBorder="1" applyAlignment="1">
      <alignment horizontal="center" vertical="center" wrapText="1"/>
    </xf>
    <xf numFmtId="0" fontId="109" fillId="100" borderId="58" xfId="0" applyFont="1" applyFill="1" applyBorder="1" applyAlignment="1">
      <alignment horizontal="center" vertical="center" wrapText="1"/>
    </xf>
    <xf numFmtId="0" fontId="79" fillId="100" borderId="187" xfId="0" applyFont="1" applyFill="1" applyBorder="1" applyAlignment="1">
      <alignment horizontal="right" vertical="center" indent="4"/>
    </xf>
    <xf numFmtId="3" fontId="64" fillId="0" borderId="165" xfId="0" applyNumberFormat="1" applyFont="1" applyBorder="1" applyAlignment="1">
      <alignment horizontal="center" vertical="center"/>
    </xf>
    <xf numFmtId="49" fontId="109" fillId="100" borderId="48" xfId="0" applyNumberFormat="1" applyFont="1" applyFill="1" applyBorder="1" applyAlignment="1">
      <alignment horizontal="center" vertical="center" wrapText="1"/>
    </xf>
    <xf numFmtId="49" fontId="79" fillId="100" borderId="48" xfId="0" applyNumberFormat="1" applyFont="1" applyFill="1" applyBorder="1" applyAlignment="1">
      <alignment horizontal="center" vertical="center" wrapText="1"/>
    </xf>
    <xf numFmtId="49" fontId="79" fillId="100" borderId="231" xfId="0" applyNumberFormat="1" applyFont="1" applyFill="1" applyBorder="1" applyAlignment="1">
      <alignment horizontal="center" vertical="center" wrapText="1"/>
    </xf>
    <xf numFmtId="169" fontId="10" fillId="0" borderId="0" xfId="1" applyNumberFormat="1" applyFont="1"/>
    <xf numFmtId="0" fontId="88" fillId="0" borderId="291" xfId="0" applyFont="1" applyBorder="1" applyAlignment="1">
      <alignment horizontal="left" vertical="center" indent="1"/>
    </xf>
    <xf numFmtId="3" fontId="88" fillId="0" borderId="292" xfId="0" applyNumberFormat="1" applyFont="1" applyBorder="1" applyAlignment="1">
      <alignment horizontal="center" vertical="center"/>
    </xf>
    <xf numFmtId="169" fontId="88" fillId="0" borderId="292" xfId="1" applyNumberFormat="1" applyFont="1" applyBorder="1" applyAlignment="1">
      <alignment horizontal="center" vertical="center"/>
    </xf>
    <xf numFmtId="169" fontId="88" fillId="0" borderId="293" xfId="1" applyNumberFormat="1" applyFont="1" applyBorder="1" applyAlignment="1">
      <alignment horizontal="center" vertical="center"/>
    </xf>
    <xf numFmtId="0" fontId="88" fillId="97" borderId="291" xfId="0" applyFont="1" applyFill="1" applyBorder="1" applyAlignment="1">
      <alignment horizontal="left" vertical="center" indent="1"/>
    </xf>
    <xf numFmtId="3" fontId="88" fillId="97" borderId="292" xfId="0" applyNumberFormat="1" applyFont="1" applyFill="1" applyBorder="1" applyAlignment="1">
      <alignment horizontal="center" vertical="center"/>
    </xf>
    <xf numFmtId="169" fontId="88" fillId="97" borderId="292" xfId="1" applyNumberFormat="1" applyFont="1" applyFill="1" applyBorder="1" applyAlignment="1">
      <alignment horizontal="center" vertical="center"/>
    </xf>
    <xf numFmtId="169" fontId="88" fillId="97" borderId="293" xfId="1" applyNumberFormat="1" applyFont="1" applyFill="1" applyBorder="1" applyAlignment="1">
      <alignment horizontal="center" vertical="center"/>
    </xf>
    <xf numFmtId="0" fontId="148" fillId="98" borderId="256" xfId="0" applyFont="1" applyFill="1" applyBorder="1" applyAlignment="1">
      <alignment horizontal="left" vertical="center" indent="1"/>
    </xf>
    <xf numFmtId="3" fontId="148" fillId="98" borderId="53" xfId="0" applyNumberFormat="1" applyFont="1" applyFill="1" applyBorder="1" applyAlignment="1">
      <alignment horizontal="center" vertical="center"/>
    </xf>
    <xf numFmtId="169" fontId="148" fillId="98" borderId="53" xfId="1" applyNumberFormat="1" applyFont="1" applyFill="1" applyBorder="1" applyAlignment="1">
      <alignment horizontal="center" vertical="center"/>
    </xf>
    <xf numFmtId="0" fontId="148" fillId="98" borderId="258" xfId="0" applyFont="1" applyFill="1" applyBorder="1" applyAlignment="1">
      <alignment horizontal="left" vertical="center" wrapText="1" indent="1"/>
    </xf>
    <xf numFmtId="169" fontId="148" fillId="98" borderId="260" xfId="1" applyNumberFormat="1" applyFont="1" applyFill="1" applyBorder="1" applyAlignment="1">
      <alignment horizontal="center" vertical="center"/>
    </xf>
    <xf numFmtId="0" fontId="112" fillId="100" borderId="48" xfId="0" applyFont="1" applyFill="1" applyBorder="1" applyAlignment="1">
      <alignment horizontal="center" vertical="center" wrapText="1"/>
    </xf>
    <xf numFmtId="0" fontId="136" fillId="98" borderId="297" xfId="0" applyFont="1" applyFill="1" applyBorder="1" applyAlignment="1">
      <alignment horizontal="center" vertical="center"/>
    </xf>
    <xf numFmtId="0" fontId="136" fillId="98" borderId="298" xfId="0" applyFont="1" applyFill="1" applyBorder="1" applyAlignment="1">
      <alignment horizontal="center" vertical="center"/>
    </xf>
    <xf numFmtId="0" fontId="136" fillId="98" borderId="299" xfId="0" applyFont="1" applyFill="1" applyBorder="1" applyAlignment="1">
      <alignment horizontal="center" vertical="center"/>
    </xf>
    <xf numFmtId="0" fontId="64" fillId="0" borderId="289" xfId="0" applyFont="1" applyBorder="1" applyAlignment="1">
      <alignment horizontal="left" vertical="center" wrapText="1" indent="2"/>
    </xf>
    <xf numFmtId="0" fontId="64" fillId="0" borderId="289" xfId="0" applyFont="1" applyBorder="1" applyAlignment="1">
      <alignment horizontal="center" vertical="center" wrapText="1"/>
    </xf>
    <xf numFmtId="0" fontId="64" fillId="97" borderId="292" xfId="0" applyFont="1" applyFill="1" applyBorder="1" applyAlignment="1">
      <alignment horizontal="left" vertical="center" wrapText="1" indent="2"/>
    </xf>
    <xf numFmtId="0" fontId="64" fillId="97" borderId="292" xfId="0" applyFont="1" applyFill="1" applyBorder="1" applyAlignment="1">
      <alignment horizontal="center" vertical="center" wrapText="1"/>
    </xf>
    <xf numFmtId="0" fontId="64" fillId="0" borderId="292" xfId="0" applyFont="1" applyBorder="1" applyAlignment="1">
      <alignment horizontal="left" vertical="center" wrapText="1" indent="2"/>
    </xf>
    <xf numFmtId="0" fontId="64" fillId="0" borderId="292" xfId="0" applyFont="1" applyBorder="1" applyAlignment="1">
      <alignment horizontal="center" vertical="center" wrapText="1"/>
    </xf>
    <xf numFmtId="0" fontId="64" fillId="97" borderId="294" xfId="0" applyFont="1" applyFill="1" applyBorder="1" applyAlignment="1">
      <alignment horizontal="left" vertical="center" wrapText="1" indent="2"/>
    </xf>
    <xf numFmtId="0" fontId="64" fillId="97" borderId="294" xfId="0" applyFont="1" applyFill="1" applyBorder="1" applyAlignment="1">
      <alignment horizontal="center" vertical="center" wrapText="1"/>
    </xf>
    <xf numFmtId="0" fontId="0" fillId="0" borderId="0" xfId="0"/>
    <xf numFmtId="3" fontId="0" fillId="0" borderId="0" xfId="0" applyNumberFormat="1"/>
    <xf numFmtId="2" fontId="10" fillId="0" borderId="0" xfId="0" applyNumberFormat="1" applyFont="1"/>
    <xf numFmtId="10" fontId="10" fillId="0" borderId="0" xfId="1" applyNumberFormat="1" applyFont="1"/>
    <xf numFmtId="0" fontId="70" fillId="0" borderId="0" xfId="0" applyFont="1" applyAlignment="1">
      <alignment horizontal="left" vertical="center"/>
    </xf>
    <xf numFmtId="0" fontId="0" fillId="0" borderId="0" xfId="0" applyFont="1" applyAlignment="1"/>
    <xf numFmtId="3" fontId="4" fillId="0" borderId="0" xfId="1" applyNumberFormat="1" applyFont="1"/>
    <xf numFmtId="3" fontId="4" fillId="0" borderId="0" xfId="0" applyNumberFormat="1" applyFont="1"/>
    <xf numFmtId="0" fontId="103" fillId="0" borderId="0" xfId="0" applyFont="1" applyAlignment="1">
      <alignment horizontal="center" vertical="center"/>
    </xf>
    <xf numFmtId="3" fontId="103" fillId="0" borderId="0" xfId="0" applyNumberFormat="1" applyFont="1" applyAlignment="1">
      <alignment horizontal="center" vertical="center"/>
    </xf>
    <xf numFmtId="0" fontId="0" fillId="62" borderId="0" xfId="0" applyFill="1"/>
    <xf numFmtId="169" fontId="0" fillId="0" borderId="0" xfId="1" applyNumberFormat="1" applyFont="1" applyAlignment="1">
      <alignment horizontal="center"/>
    </xf>
    <xf numFmtId="0" fontId="0" fillId="0" borderId="0" xfId="0" applyFont="1" applyAlignment="1">
      <alignment wrapText="1"/>
    </xf>
    <xf numFmtId="0" fontId="138" fillId="3" borderId="0" xfId="0" applyFont="1" applyFill="1"/>
    <xf numFmtId="0" fontId="139" fillId="3" borderId="0" xfId="0" applyFont="1" applyFill="1"/>
    <xf numFmtId="0" fontId="115" fillId="3" borderId="148" xfId="0" applyFont="1" applyFill="1" applyBorder="1"/>
    <xf numFmtId="0" fontId="139" fillId="97" borderId="0" xfId="0" applyFont="1" applyFill="1" applyAlignment="1">
      <alignment horizontal="left" vertical="center"/>
    </xf>
    <xf numFmtId="3" fontId="110" fillId="93" borderId="149" xfId="0" applyNumberFormat="1" applyFont="1" applyFill="1" applyBorder="1" applyAlignment="1">
      <alignment horizontal="right"/>
    </xf>
    <xf numFmtId="3" fontId="110" fillId="0" borderId="150" xfId="0" applyNumberFormat="1" applyFont="1" applyBorder="1" applyAlignment="1">
      <alignment horizontal="right"/>
    </xf>
    <xf numFmtId="3" fontId="110" fillId="0" borderId="151" xfId="0" applyNumberFormat="1" applyFont="1" applyBorder="1" applyAlignment="1">
      <alignment horizontal="right"/>
    </xf>
    <xf numFmtId="3" fontId="119" fillId="0" borderId="147" xfId="0" applyNumberFormat="1" applyFont="1" applyBorder="1" applyAlignment="1">
      <alignment horizontal="right"/>
    </xf>
    <xf numFmtId="0" fontId="115" fillId="3" borderId="153" xfId="0" applyFont="1" applyFill="1" applyBorder="1"/>
    <xf numFmtId="3" fontId="110" fillId="93" borderId="154" xfId="0" applyNumberFormat="1" applyFont="1" applyFill="1" applyBorder="1" applyAlignment="1">
      <alignment horizontal="right"/>
    </xf>
    <xf numFmtId="0" fontId="115" fillId="106" borderId="153" xfId="0" applyFont="1" applyFill="1" applyBorder="1"/>
    <xf numFmtId="0" fontId="0" fillId="62" borderId="0" xfId="0" applyFill="1" applyAlignment="1">
      <alignment wrapText="1"/>
    </xf>
    <xf numFmtId="0" fontId="0" fillId="94" borderId="0" xfId="0" applyFill="1" applyAlignment="1">
      <alignment wrapText="1"/>
    </xf>
    <xf numFmtId="0" fontId="0" fillId="103" borderId="0" xfId="0" applyFill="1" applyAlignment="1">
      <alignment wrapText="1"/>
    </xf>
    <xf numFmtId="0" fontId="0" fillId="107" borderId="0" xfId="0" applyFill="1" applyAlignment="1">
      <alignment wrapText="1"/>
    </xf>
    <xf numFmtId="49" fontId="0" fillId="0" borderId="0" xfId="0" applyNumberFormat="1" applyAlignment="1">
      <alignment wrapText="1"/>
    </xf>
    <xf numFmtId="0" fontId="90" fillId="3" borderId="108" xfId="0" applyFont="1" applyFill="1" applyBorder="1" applyAlignment="1">
      <alignment horizontal="left" vertical="center" wrapText="1" indent="1"/>
    </xf>
    <xf numFmtId="0" fontId="90" fillId="97" borderId="108" xfId="0" applyFont="1" applyFill="1" applyBorder="1" applyAlignment="1">
      <alignment horizontal="left" vertical="center" wrapText="1" indent="1"/>
    </xf>
    <xf numFmtId="3" fontId="0" fillId="0" borderId="0" xfId="0" applyNumberFormat="1" applyAlignment="1">
      <alignment wrapText="1"/>
    </xf>
    <xf numFmtId="49" fontId="17" fillId="0" borderId="0" xfId="0" applyNumberFormat="1" applyFont="1" applyAlignment="1">
      <alignment wrapText="1"/>
    </xf>
    <xf numFmtId="3" fontId="17" fillId="0" borderId="0" xfId="0" applyNumberFormat="1" applyFont="1" applyAlignment="1">
      <alignment wrapText="1"/>
    </xf>
    <xf numFmtId="169" fontId="155" fillId="0" borderId="151" xfId="0" applyNumberFormat="1" applyFont="1" applyBorder="1" applyAlignment="1">
      <alignment horizontal="right"/>
    </xf>
    <xf numFmtId="0" fontId="15" fillId="98" borderId="4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2" borderId="43" xfId="0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0" fontId="1" fillId="61" borderId="43" xfId="0" applyFont="1" applyFill="1" applyBorder="1" applyAlignment="1">
      <alignment horizontal="center" vertical="center"/>
    </xf>
    <xf numFmtId="3" fontId="1" fillId="61" borderId="6" xfId="0" applyNumberFormat="1" applyFont="1" applyFill="1" applyBorder="1" applyAlignment="1">
      <alignment horizontal="center" vertical="center"/>
    </xf>
    <xf numFmtId="10" fontId="1" fillId="0" borderId="0" xfId="1" applyNumberFormat="1" applyFont="1"/>
    <xf numFmtId="169" fontId="1" fillId="2" borderId="6" xfId="1" applyNumberFormat="1" applyFont="1" applyFill="1" applyBorder="1" applyAlignment="1">
      <alignment horizontal="center" vertical="center"/>
    </xf>
    <xf numFmtId="3" fontId="1" fillId="2" borderId="44" xfId="0" applyNumberFormat="1" applyFont="1" applyFill="1" applyBorder="1" applyAlignment="1">
      <alignment horizontal="center" vertical="center"/>
    </xf>
    <xf numFmtId="169" fontId="1" fillId="61" borderId="6" xfId="1" applyNumberFormat="1" applyFont="1" applyFill="1" applyBorder="1" applyAlignment="1">
      <alignment horizontal="center" vertical="center"/>
    </xf>
    <xf numFmtId="3" fontId="1" fillId="61" borderId="4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3" fontId="1" fillId="2" borderId="6" xfId="0" applyNumberFormat="1" applyFont="1" applyFill="1" applyBorder="1" applyAlignment="1">
      <alignment horizontal="right" vertical="center" indent="4"/>
    </xf>
    <xf numFmtId="0" fontId="13" fillId="3" borderId="43" xfId="0" applyFont="1" applyFill="1" applyBorder="1" applyAlignment="1">
      <alignment horizontal="center" vertical="center"/>
    </xf>
    <xf numFmtId="3" fontId="13" fillId="3" borderId="6" xfId="0" applyNumberFormat="1" applyFont="1" applyFill="1" applyBorder="1" applyAlignment="1">
      <alignment horizontal="right" vertical="center" indent="4"/>
    </xf>
    <xf numFmtId="169" fontId="13" fillId="3" borderId="6" xfId="1" applyNumberFormat="1" applyFont="1" applyFill="1" applyBorder="1" applyAlignment="1">
      <alignment horizontal="right" vertical="center" indent="4"/>
    </xf>
    <xf numFmtId="169" fontId="13" fillId="3" borderId="6" xfId="1" applyNumberFormat="1" applyFont="1" applyFill="1" applyBorder="1" applyAlignment="1">
      <alignment horizontal="center" vertical="center"/>
    </xf>
    <xf numFmtId="3" fontId="13" fillId="3" borderId="44" xfId="0" applyNumberFormat="1" applyFont="1" applyFill="1" applyBorder="1" applyAlignment="1">
      <alignment horizontal="right" vertical="center" indent="4"/>
    </xf>
    <xf numFmtId="0" fontId="13" fillId="97" borderId="43" xfId="0" applyFont="1" applyFill="1" applyBorder="1" applyAlignment="1">
      <alignment horizontal="center" vertical="center"/>
    </xf>
    <xf numFmtId="3" fontId="13" fillId="97" borderId="119" xfId="0" applyNumberFormat="1" applyFont="1" applyFill="1" applyBorder="1" applyAlignment="1">
      <alignment horizontal="center" vertical="center"/>
    </xf>
    <xf numFmtId="3" fontId="13" fillId="97" borderId="6" xfId="0" applyNumberFormat="1" applyFont="1" applyFill="1" applyBorder="1" applyAlignment="1">
      <alignment horizontal="right" vertical="center" indent="4"/>
    </xf>
    <xf numFmtId="169" fontId="13" fillId="97" borderId="6" xfId="1" applyNumberFormat="1" applyFont="1" applyFill="1" applyBorder="1" applyAlignment="1">
      <alignment horizontal="right" vertical="center" indent="4"/>
    </xf>
    <xf numFmtId="169" fontId="13" fillId="97" borderId="6" xfId="1" applyNumberFormat="1" applyFont="1" applyFill="1" applyBorder="1" applyAlignment="1">
      <alignment horizontal="center" vertical="center"/>
    </xf>
    <xf numFmtId="3" fontId="13" fillId="97" borderId="44" xfId="0" applyNumberFormat="1" applyFont="1" applyFill="1" applyBorder="1" applyAlignment="1">
      <alignment horizontal="right" vertical="center" indent="4"/>
    </xf>
    <xf numFmtId="3" fontId="16" fillId="0" borderId="0" xfId="227" applyNumberFormat="1"/>
    <xf numFmtId="187" fontId="1" fillId="0" borderId="0" xfId="0" applyNumberFormat="1" applyFont="1"/>
    <xf numFmtId="3" fontId="156" fillId="0" borderId="0" xfId="0" applyNumberFormat="1" applyFont="1"/>
    <xf numFmtId="0" fontId="17" fillId="0" borderId="0" xfId="0" applyFont="1"/>
    <xf numFmtId="1" fontId="1" fillId="0" borderId="0" xfId="0" applyNumberFormat="1" applyFont="1"/>
    <xf numFmtId="169" fontId="1" fillId="0" borderId="0" xfId="0" applyNumberFormat="1" applyFont="1"/>
    <xf numFmtId="3" fontId="13" fillId="0" borderId="6" xfId="0" applyNumberFormat="1" applyFont="1" applyBorder="1" applyAlignment="1">
      <alignment horizontal="center" vertical="center"/>
    </xf>
    <xf numFmtId="169" fontId="13" fillId="0" borderId="6" xfId="1" applyNumberFormat="1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10" fontId="13" fillId="97" borderId="6" xfId="1" applyNumberFormat="1" applyFont="1" applyFill="1" applyBorder="1" applyAlignment="1">
      <alignment horizontal="center" vertical="center"/>
    </xf>
    <xf numFmtId="3" fontId="13" fillId="97" borderId="44" xfId="0" applyNumberFormat="1" applyFont="1" applyFill="1" applyBorder="1" applyAlignment="1">
      <alignment horizontal="center" vertical="center"/>
    </xf>
    <xf numFmtId="0" fontId="79" fillId="98" borderId="66" xfId="0" applyFont="1" applyFill="1" applyBorder="1" applyAlignment="1">
      <alignment horizontal="left" vertical="center" indent="1"/>
    </xf>
    <xf numFmtId="3" fontId="79" fillId="98" borderId="80" xfId="0" applyNumberFormat="1" applyFont="1" applyFill="1" applyBorder="1" applyAlignment="1">
      <alignment horizontal="center" vertical="center"/>
    </xf>
    <xf numFmtId="169" fontId="79" fillId="98" borderId="80" xfId="1" applyNumberFormat="1" applyFont="1" applyFill="1" applyBorder="1" applyAlignment="1">
      <alignment horizontal="center" vertical="center"/>
    </xf>
    <xf numFmtId="3" fontId="79" fillId="109" borderId="80" xfId="0" applyNumberFormat="1" applyFont="1" applyFill="1" applyBorder="1" applyAlignment="1">
      <alignment horizontal="center" vertical="center"/>
    </xf>
    <xf numFmtId="169" fontId="79" fillId="109" borderId="80" xfId="1" applyNumberFormat="1" applyFont="1" applyFill="1" applyBorder="1" applyAlignment="1">
      <alignment horizontal="center" vertical="center"/>
    </xf>
    <xf numFmtId="3" fontId="79" fillId="109" borderId="81" xfId="0" applyNumberFormat="1" applyFont="1" applyFill="1" applyBorder="1" applyAlignment="1">
      <alignment horizontal="center" vertical="center"/>
    </xf>
    <xf numFmtId="0" fontId="109" fillId="98" borderId="1" xfId="0" applyFont="1" applyFill="1" applyBorder="1" applyAlignment="1">
      <alignment horizontal="center" vertical="center" wrapText="1"/>
    </xf>
    <xf numFmtId="0" fontId="109" fillId="98" borderId="86" xfId="0" applyFont="1" applyFill="1" applyBorder="1" applyAlignment="1">
      <alignment horizontal="center" vertical="center" wrapText="1"/>
    </xf>
    <xf numFmtId="0" fontId="13" fillId="3" borderId="451" xfId="0" applyFont="1" applyFill="1" applyBorder="1" applyAlignment="1">
      <alignment horizontal="left" vertical="center" indent="1"/>
    </xf>
    <xf numFmtId="3" fontId="13" fillId="3" borderId="452" xfId="0" applyNumberFormat="1" applyFont="1" applyFill="1" applyBorder="1" applyAlignment="1">
      <alignment horizontal="right" vertical="center" indent="1"/>
    </xf>
    <xf numFmtId="3" fontId="57" fillId="3" borderId="452" xfId="0" applyNumberFormat="1" applyFont="1" applyFill="1" applyBorder="1" applyAlignment="1">
      <alignment horizontal="right" vertical="center" indent="1"/>
    </xf>
    <xf numFmtId="3" fontId="13" fillId="3" borderId="453" xfId="0" applyNumberFormat="1" applyFont="1" applyFill="1" applyBorder="1" applyAlignment="1">
      <alignment horizontal="right" vertical="center" indent="1"/>
    </xf>
    <xf numFmtId="169" fontId="1" fillId="0" borderId="0" xfId="1" applyNumberFormat="1" applyFont="1" applyAlignment="1">
      <alignment vertical="center"/>
    </xf>
    <xf numFmtId="3" fontId="13" fillId="97" borderId="6" xfId="0" applyNumberFormat="1" applyFont="1" applyFill="1" applyBorder="1" applyAlignment="1">
      <alignment horizontal="right" vertical="center" indent="1"/>
    </xf>
    <xf numFmtId="3" fontId="57" fillId="97" borderId="6" xfId="0" applyNumberFormat="1" applyFont="1" applyFill="1" applyBorder="1" applyAlignment="1">
      <alignment horizontal="right" vertical="center" indent="1"/>
    </xf>
    <xf numFmtId="3" fontId="13" fillId="97" borderId="44" xfId="0" applyNumberFormat="1" applyFont="1" applyFill="1" applyBorder="1" applyAlignment="1">
      <alignment horizontal="right" vertical="center" indent="1"/>
    </xf>
    <xf numFmtId="0" fontId="13" fillId="3" borderId="43" xfId="0" applyFont="1" applyFill="1" applyBorder="1" applyAlignment="1">
      <alignment horizontal="left" vertical="center" indent="1"/>
    </xf>
    <xf numFmtId="3" fontId="13" fillId="3" borderId="6" xfId="0" applyNumberFormat="1" applyFont="1" applyFill="1" applyBorder="1" applyAlignment="1">
      <alignment horizontal="right" vertical="center" indent="1"/>
    </xf>
    <xf numFmtId="3" fontId="57" fillId="3" borderId="6" xfId="0" applyNumberFormat="1" applyFont="1" applyFill="1" applyBorder="1" applyAlignment="1">
      <alignment horizontal="right" vertical="center" indent="1"/>
    </xf>
    <xf numFmtId="3" fontId="13" fillId="3" borderId="44" xfId="0" applyNumberFormat="1" applyFont="1" applyFill="1" applyBorder="1" applyAlignment="1">
      <alignment horizontal="right" vertical="center" indent="1"/>
    </xf>
    <xf numFmtId="0" fontId="13" fillId="97" borderId="45" xfId="0" applyFont="1" applyFill="1" applyBorder="1" applyAlignment="1">
      <alignment horizontal="left" vertical="center" indent="1"/>
    </xf>
    <xf numFmtId="3" fontId="13" fillId="97" borderId="35" xfId="0" applyNumberFormat="1" applyFont="1" applyFill="1" applyBorder="1" applyAlignment="1">
      <alignment horizontal="right" vertical="center" indent="1"/>
    </xf>
    <xf numFmtId="3" fontId="57" fillId="97" borderId="35" xfId="0" applyNumberFormat="1" applyFont="1" applyFill="1" applyBorder="1" applyAlignment="1">
      <alignment horizontal="right" vertical="center" indent="1"/>
    </xf>
    <xf numFmtId="3" fontId="13" fillId="97" borderId="46" xfId="0" applyNumberFormat="1" applyFont="1" applyFill="1" applyBorder="1" applyAlignment="1">
      <alignment horizontal="right" vertical="center" indent="1"/>
    </xf>
    <xf numFmtId="0" fontId="79" fillId="98" borderId="65" xfId="0" applyFont="1" applyFill="1" applyBorder="1" applyAlignment="1">
      <alignment horizontal="left" vertical="center" indent="1"/>
    </xf>
    <xf numFmtId="3" fontId="79" fillId="98" borderId="53" xfId="0" applyNumberFormat="1" applyFont="1" applyFill="1" applyBorder="1" applyAlignment="1">
      <alignment horizontal="right" vertical="center" indent="1"/>
    </xf>
    <xf numFmtId="3" fontId="79" fillId="98" borderId="61" xfId="0" applyNumberFormat="1" applyFont="1" applyFill="1" applyBorder="1" applyAlignment="1">
      <alignment horizontal="right" vertical="center" indent="1"/>
    </xf>
    <xf numFmtId="169" fontId="79" fillId="98" borderId="48" xfId="1" applyNumberFormat="1" applyFont="1" applyFill="1" applyBorder="1" applyAlignment="1">
      <alignment horizontal="right" vertical="center" indent="1"/>
    </xf>
    <xf numFmtId="169" fontId="79" fillId="98" borderId="84" xfId="1" applyNumberFormat="1" applyFont="1" applyFill="1" applyBorder="1" applyAlignment="1">
      <alignment horizontal="right" vertical="center" indent="1"/>
    </xf>
    <xf numFmtId="169" fontId="1" fillId="2" borderId="6" xfId="1" applyNumberFormat="1" applyFont="1" applyFill="1" applyBorder="1" applyAlignment="1">
      <alignment horizontal="right" vertical="center" indent="4"/>
    </xf>
    <xf numFmtId="0" fontId="84" fillId="0" borderId="0" xfId="431"/>
    <xf numFmtId="0" fontId="157" fillId="0" borderId="0" xfId="0" applyFont="1"/>
    <xf numFmtId="0" fontId="62" fillId="0" borderId="355" xfId="0" applyFont="1" applyBorder="1"/>
    <xf numFmtId="3" fontId="105" fillId="94" borderId="455" xfId="0" applyNumberFormat="1" applyFont="1" applyFill="1" applyBorder="1" applyAlignment="1">
      <alignment horizontal="right" vertical="center" indent="1"/>
    </xf>
    <xf numFmtId="169" fontId="105" fillId="94" borderId="456" xfId="0" applyNumberFormat="1" applyFont="1" applyFill="1" applyBorder="1" applyAlignment="1">
      <alignment horizontal="right" vertical="center" indent="1"/>
    </xf>
    <xf numFmtId="3" fontId="105" fillId="94" borderId="457" xfId="0" applyNumberFormat="1" applyFont="1" applyFill="1" applyBorder="1" applyAlignment="1">
      <alignment horizontal="right" vertical="center" indent="1"/>
    </xf>
    <xf numFmtId="169" fontId="105" fillId="94" borderId="458" xfId="0" applyNumberFormat="1" applyFont="1" applyFill="1" applyBorder="1" applyAlignment="1">
      <alignment horizontal="right" vertical="center" indent="1"/>
    </xf>
    <xf numFmtId="3" fontId="105" fillId="97" borderId="455" xfId="0" applyNumberFormat="1" applyFont="1" applyFill="1" applyBorder="1" applyAlignment="1">
      <alignment horizontal="right" vertical="center" indent="1"/>
    </xf>
    <xf numFmtId="169" fontId="105" fillId="97" borderId="456" xfId="0" applyNumberFormat="1" applyFont="1" applyFill="1" applyBorder="1" applyAlignment="1">
      <alignment horizontal="right" vertical="center" indent="1"/>
    </xf>
    <xf numFmtId="3" fontId="105" fillId="94" borderId="459" xfId="0" applyNumberFormat="1" applyFont="1" applyFill="1" applyBorder="1" applyAlignment="1">
      <alignment horizontal="right" vertical="center" indent="1"/>
    </xf>
    <xf numFmtId="169" fontId="105" fillId="94" borderId="460" xfId="0" applyNumberFormat="1" applyFont="1" applyFill="1" applyBorder="1" applyAlignment="1">
      <alignment horizontal="right" vertical="center" indent="1"/>
    </xf>
    <xf numFmtId="3" fontId="105" fillId="97" borderId="457" xfId="0" applyNumberFormat="1" applyFont="1" applyFill="1" applyBorder="1" applyAlignment="1">
      <alignment horizontal="right" vertical="center" indent="1"/>
    </xf>
    <xf numFmtId="169" fontId="105" fillId="97" borderId="458" xfId="0" applyNumberFormat="1" applyFont="1" applyFill="1" applyBorder="1" applyAlignment="1">
      <alignment horizontal="right" vertical="center" indent="1"/>
    </xf>
    <xf numFmtId="3" fontId="105" fillId="97" borderId="119" xfId="0" applyNumberFormat="1" applyFont="1" applyFill="1" applyBorder="1" applyAlignment="1">
      <alignment horizontal="right" vertical="center" indent="1"/>
    </xf>
    <xf numFmtId="3" fontId="105" fillId="3" borderId="119" xfId="0" applyNumberFormat="1" applyFont="1" applyFill="1" applyBorder="1" applyAlignment="1">
      <alignment horizontal="right" vertical="center" indent="1"/>
    </xf>
    <xf numFmtId="3" fontId="105" fillId="97" borderId="461" xfId="0" applyNumberFormat="1" applyFont="1" applyFill="1" applyBorder="1" applyAlignment="1">
      <alignment horizontal="right" vertical="center" indent="1"/>
    </xf>
    <xf numFmtId="3" fontId="105" fillId="94" borderId="462" xfId="0" applyNumberFormat="1" applyFont="1" applyFill="1" applyBorder="1" applyAlignment="1">
      <alignment horizontal="right" vertical="center" indent="1"/>
    </xf>
    <xf numFmtId="3" fontId="105" fillId="97" borderId="462" xfId="0" applyNumberFormat="1" applyFont="1" applyFill="1" applyBorder="1" applyAlignment="1">
      <alignment horizontal="right" vertical="center" indent="1"/>
    </xf>
    <xf numFmtId="169" fontId="105" fillId="97" borderId="460" xfId="0" applyNumberFormat="1" applyFont="1" applyFill="1" applyBorder="1" applyAlignment="1">
      <alignment horizontal="right" vertical="center" indent="1"/>
    </xf>
    <xf numFmtId="3" fontId="105" fillId="97" borderId="459" xfId="0" applyNumberFormat="1" applyFont="1" applyFill="1" applyBorder="1" applyAlignment="1">
      <alignment horizontal="right" vertical="center" indent="1"/>
    </xf>
    <xf numFmtId="0" fontId="139" fillId="102" borderId="110" xfId="0" applyFont="1" applyFill="1" applyBorder="1" applyAlignment="1">
      <alignment horizontal="left" vertical="center" wrapText="1"/>
    </xf>
    <xf numFmtId="0" fontId="139" fillId="103" borderId="110" xfId="0" applyFont="1" applyFill="1" applyBorder="1" applyAlignment="1">
      <alignment horizontal="left" vertical="center" wrapText="1"/>
    </xf>
    <xf numFmtId="0" fontId="139" fillId="94" borderId="110" xfId="0" applyFont="1" applyFill="1" applyBorder="1" applyAlignment="1">
      <alignment horizontal="left" vertical="center" wrapText="1"/>
    </xf>
    <xf numFmtId="0" fontId="139" fillId="62" borderId="110" xfId="0" applyFont="1" applyFill="1" applyBorder="1" applyAlignment="1">
      <alignment horizontal="left" vertical="center" wrapText="1"/>
    </xf>
    <xf numFmtId="0" fontId="139" fillId="110" borderId="0" xfId="0" applyFont="1" applyFill="1" applyAlignment="1">
      <alignment horizontal="left" vertical="center"/>
    </xf>
    <xf numFmtId="3" fontId="0" fillId="0" borderId="0" xfId="0" applyNumberFormat="1" applyAlignment="1">
      <alignment horizontal="right"/>
    </xf>
    <xf numFmtId="3" fontId="62" fillId="3" borderId="277" xfId="0" applyNumberFormat="1" applyFont="1" applyFill="1" applyBorder="1" applyAlignment="1">
      <alignment horizontal="right" vertical="center" indent="2"/>
    </xf>
    <xf numFmtId="3" fontId="62" fillId="3" borderId="464" xfId="0" applyNumberFormat="1" applyFont="1" applyFill="1" applyBorder="1" applyAlignment="1">
      <alignment horizontal="right" vertical="center" indent="2"/>
    </xf>
    <xf numFmtId="3" fontId="62" fillId="3" borderId="465" xfId="0" applyNumberFormat="1" applyFont="1" applyFill="1" applyBorder="1" applyAlignment="1">
      <alignment horizontal="right" vertical="center" indent="2"/>
    </xf>
    <xf numFmtId="3" fontId="62" fillId="3" borderId="0" xfId="0" applyNumberFormat="1" applyFont="1" applyFill="1" applyAlignment="1">
      <alignment horizontal="right" vertical="center" wrapText="1" indent="3"/>
    </xf>
    <xf numFmtId="3" fontId="62" fillId="3" borderId="0" xfId="0" applyNumberFormat="1" applyFont="1" applyFill="1" applyAlignment="1">
      <alignment horizontal="right" vertical="center" indent="3"/>
    </xf>
    <xf numFmtId="3" fontId="142" fillId="2" borderId="362" xfId="0" applyNumberFormat="1" applyFont="1" applyFill="1" applyBorder="1" applyAlignment="1">
      <alignment horizontal="left" vertical="center" indent="1"/>
    </xf>
    <xf numFmtId="3" fontId="62" fillId="3" borderId="0" xfId="0" applyNumberFormat="1" applyFont="1" applyFill="1" applyAlignment="1">
      <alignment horizontal="right" vertical="center" indent="2"/>
    </xf>
    <xf numFmtId="0" fontId="0" fillId="0" borderId="0" xfId="0" applyAlignment="1">
      <alignment horizontal="right" wrapText="1"/>
    </xf>
    <xf numFmtId="3" fontId="1" fillId="2" borderId="202" xfId="0" applyNumberFormat="1" applyFont="1" applyFill="1" applyBorder="1" applyAlignment="1">
      <alignment horizontal="right" vertical="center" indent="4"/>
    </xf>
    <xf numFmtId="3" fontId="1" fillId="97" borderId="160" xfId="0" applyNumberFormat="1" applyFont="1" applyFill="1" applyBorder="1" applyAlignment="1">
      <alignment horizontal="right" vertical="center" indent="4"/>
    </xf>
    <xf numFmtId="3" fontId="1" fillId="2" borderId="160" xfId="0" applyNumberFormat="1" applyFont="1" applyFill="1" applyBorder="1" applyAlignment="1">
      <alignment horizontal="right" vertical="center" indent="4"/>
    </xf>
    <xf numFmtId="3" fontId="1" fillId="2" borderId="198" xfId="0" applyNumberFormat="1" applyFont="1" applyFill="1" applyBorder="1" applyAlignment="1">
      <alignment horizontal="right" vertical="center" indent="4"/>
    </xf>
    <xf numFmtId="49" fontId="79" fillId="100" borderId="227" xfId="0" applyNumberFormat="1" applyFont="1" applyFill="1" applyBorder="1" applyAlignment="1">
      <alignment horizontal="center" vertical="center" wrapText="1"/>
    </xf>
    <xf numFmtId="49" fontId="79" fillId="100" borderId="216" xfId="0" applyNumberFormat="1" applyFont="1" applyFill="1" applyBorder="1" applyAlignment="1">
      <alignment horizontal="center" vertical="center" wrapText="1"/>
    </xf>
    <xf numFmtId="49" fontId="109" fillId="100" borderId="216" xfId="0" applyNumberFormat="1" applyFont="1" applyFill="1" applyBorder="1" applyAlignment="1">
      <alignment horizontal="center" vertical="center" wrapText="1"/>
    </xf>
    <xf numFmtId="0" fontId="109" fillId="98" borderId="48" xfId="0" applyFont="1" applyFill="1" applyBorder="1" applyAlignment="1">
      <alignment horizontal="center" vertical="center" wrapText="1"/>
    </xf>
    <xf numFmtId="169" fontId="98" fillId="0" borderId="0" xfId="1" applyNumberFormat="1" applyFont="1"/>
    <xf numFmtId="0" fontId="153" fillId="0" borderId="0" xfId="0" applyFont="1"/>
    <xf numFmtId="0" fontId="159" fillId="0" borderId="0" xfId="0" applyFont="1"/>
    <xf numFmtId="3" fontId="153" fillId="0" borderId="0" xfId="0" applyNumberFormat="1" applyFont="1"/>
    <xf numFmtId="0" fontId="162" fillId="0" borderId="0" xfId="0" applyFont="1"/>
    <xf numFmtId="0" fontId="163" fillId="0" borderId="0" xfId="0" applyFont="1"/>
    <xf numFmtId="0" fontId="160" fillId="111" borderId="473" xfId="0" applyFont="1" applyFill="1" applyBorder="1" applyAlignment="1">
      <alignment horizontal="center" vertical="center"/>
    </xf>
    <xf numFmtId="0" fontId="164" fillId="0" borderId="0" xfId="0" applyFont="1"/>
    <xf numFmtId="0" fontId="165" fillId="0" borderId="0" xfId="0" applyFont="1"/>
    <xf numFmtId="3" fontId="167" fillId="0" borderId="0" xfId="0" applyNumberFormat="1" applyFont="1"/>
    <xf numFmtId="0" fontId="168" fillId="0" borderId="0" xfId="0" applyFont="1"/>
    <xf numFmtId="0" fontId="169" fillId="0" borderId="0" xfId="0" applyFont="1"/>
    <xf numFmtId="169" fontId="165" fillId="0" borderId="0" xfId="0" applyNumberFormat="1" applyFont="1"/>
    <xf numFmtId="3" fontId="166" fillId="0" borderId="475" xfId="0" applyNumberFormat="1" applyFont="1" applyBorder="1" applyAlignment="1">
      <alignment horizontal="right" vertical="center" indent="2"/>
    </xf>
    <xf numFmtId="3" fontId="166" fillId="112" borderId="475" xfId="0" applyNumberFormat="1" applyFont="1" applyFill="1" applyBorder="1" applyAlignment="1">
      <alignment horizontal="right" vertical="center" indent="2"/>
    </xf>
    <xf numFmtId="3" fontId="170" fillId="111" borderId="478" xfId="0" applyNumberFormat="1" applyFont="1" applyFill="1" applyBorder="1" applyAlignment="1">
      <alignment horizontal="right" vertical="center" indent="2"/>
    </xf>
    <xf numFmtId="169" fontId="170" fillId="111" borderId="1" xfId="0" applyNumberFormat="1" applyFont="1" applyFill="1" applyBorder="1" applyAlignment="1">
      <alignment horizontal="right" vertical="center" indent="2"/>
    </xf>
    <xf numFmtId="3" fontId="166" fillId="113" borderId="480" xfId="0" applyNumberFormat="1" applyFont="1" applyFill="1" applyBorder="1" applyAlignment="1">
      <alignment horizontal="right" vertical="center" indent="2"/>
    </xf>
    <xf numFmtId="0" fontId="166" fillId="0" borderId="474" xfId="0" applyFont="1" applyBorder="1" applyAlignment="1">
      <alignment horizontal="left" vertical="center" indent="1"/>
    </xf>
    <xf numFmtId="0" fontId="166" fillId="112" borderId="474" xfId="0" applyFont="1" applyFill="1" applyBorder="1" applyAlignment="1">
      <alignment horizontal="left" vertical="center" indent="1"/>
    </xf>
    <xf numFmtId="0" fontId="166" fillId="113" borderId="479" xfId="0" applyFont="1" applyFill="1" applyBorder="1" applyAlignment="1">
      <alignment horizontal="left" vertical="center" indent="1"/>
    </xf>
    <xf numFmtId="0" fontId="148" fillId="111" borderId="477" xfId="0" applyFont="1" applyFill="1" applyBorder="1" applyAlignment="1">
      <alignment horizontal="left" vertical="center" indent="1"/>
    </xf>
    <xf numFmtId="3" fontId="166" fillId="113" borderId="481" xfId="0" applyNumberFormat="1" applyFont="1" applyFill="1" applyBorder="1" applyAlignment="1">
      <alignment horizontal="right" vertical="center" indent="2"/>
    </xf>
    <xf numFmtId="3" fontId="170" fillId="111" borderId="482" xfId="0" applyNumberFormat="1" applyFont="1" applyFill="1" applyBorder="1" applyAlignment="1">
      <alignment horizontal="right" vertical="center" indent="2"/>
    </xf>
    <xf numFmtId="0" fontId="160" fillId="111" borderId="487" xfId="0" applyFont="1" applyFill="1" applyBorder="1" applyAlignment="1">
      <alignment horizontal="center" vertical="center"/>
    </xf>
    <xf numFmtId="3" fontId="166" fillId="0" borderId="488" xfId="0" applyNumberFormat="1" applyFont="1" applyBorder="1" applyAlignment="1">
      <alignment horizontal="right" vertical="center" indent="2"/>
    </xf>
    <xf numFmtId="3" fontId="166" fillId="112" borderId="488" xfId="0" applyNumberFormat="1" applyFont="1" applyFill="1" applyBorder="1" applyAlignment="1">
      <alignment horizontal="right" vertical="center" indent="2"/>
    </xf>
    <xf numFmtId="169" fontId="170" fillId="111" borderId="489" xfId="0" applyNumberFormat="1" applyFont="1" applyFill="1" applyBorder="1" applyAlignment="1">
      <alignment horizontal="right" vertical="center" indent="2"/>
    </xf>
    <xf numFmtId="3" fontId="153" fillId="0" borderId="466" xfId="0" applyNumberFormat="1" applyFont="1" applyBorder="1" applyAlignment="1">
      <alignment horizontal="right" vertical="center" indent="2"/>
    </xf>
    <xf numFmtId="3" fontId="153" fillId="97" borderId="466" xfId="0" applyNumberFormat="1" applyFont="1" applyFill="1" applyBorder="1" applyAlignment="1">
      <alignment horizontal="right" vertical="center" indent="2"/>
    </xf>
    <xf numFmtId="3" fontId="152" fillId="98" borderId="491" xfId="0" applyNumberFormat="1" applyFont="1" applyFill="1" applyBorder="1" applyAlignment="1">
      <alignment horizontal="right" vertical="center" indent="2"/>
    </xf>
    <xf numFmtId="0" fontId="136" fillId="0" borderId="0" xfId="0" applyFont="1"/>
    <xf numFmtId="3" fontId="166" fillId="0" borderId="492" xfId="0" applyNumberFormat="1" applyFont="1" applyBorder="1" applyAlignment="1">
      <alignment horizontal="right" vertical="center" indent="2"/>
    </xf>
    <xf numFmtId="0" fontId="136" fillId="111" borderId="495" xfId="0" applyFont="1" applyFill="1" applyBorder="1" applyAlignment="1">
      <alignment horizontal="center" vertical="center"/>
    </xf>
    <xf numFmtId="0" fontId="136" fillId="111" borderId="496" xfId="0" applyFont="1" applyFill="1" applyBorder="1" applyAlignment="1">
      <alignment horizontal="center" vertical="center"/>
    </xf>
    <xf numFmtId="0" fontId="136" fillId="111" borderId="497" xfId="0" applyFont="1" applyFill="1" applyBorder="1" applyAlignment="1">
      <alignment horizontal="center" vertical="center"/>
    </xf>
    <xf numFmtId="0" fontId="166" fillId="0" borderId="498" xfId="0" applyFont="1" applyBorder="1" applyAlignment="1">
      <alignment horizontal="left" vertical="center" indent="1"/>
    </xf>
    <xf numFmtId="3" fontId="166" fillId="0" borderId="499" xfId="0" applyNumberFormat="1" applyFont="1" applyBorder="1" applyAlignment="1">
      <alignment horizontal="right" vertical="center" indent="2"/>
    </xf>
    <xf numFmtId="0" fontId="166" fillId="112" borderId="498" xfId="0" applyFont="1" applyFill="1" applyBorder="1" applyAlignment="1">
      <alignment horizontal="left" vertical="center" indent="1"/>
    </xf>
    <xf numFmtId="3" fontId="166" fillId="112" borderId="499" xfId="0" applyNumberFormat="1" applyFont="1" applyFill="1" applyBorder="1" applyAlignment="1">
      <alignment horizontal="right" vertical="center" indent="2"/>
    </xf>
    <xf numFmtId="0" fontId="148" fillId="111" borderId="500" xfId="0" applyFont="1" applyFill="1" applyBorder="1" applyAlignment="1">
      <alignment horizontal="left" vertical="center" indent="1"/>
    </xf>
    <xf numFmtId="3" fontId="170" fillId="111" borderId="501" xfId="0" applyNumberFormat="1" applyFont="1" applyFill="1" applyBorder="1" applyAlignment="1">
      <alignment horizontal="right" vertical="center" indent="2"/>
    </xf>
    <xf numFmtId="3" fontId="166" fillId="0" borderId="502" xfId="0" applyNumberFormat="1" applyFont="1" applyBorder="1" applyAlignment="1">
      <alignment horizontal="right" vertical="center" indent="2"/>
    </xf>
    <xf numFmtId="0" fontId="166" fillId="114" borderId="498" xfId="0" applyFont="1" applyFill="1" applyBorder="1" applyAlignment="1">
      <alignment horizontal="left" vertical="center" indent="1"/>
    </xf>
    <xf numFmtId="3" fontId="166" fillId="114" borderId="475" xfId="0" applyNumberFormat="1" applyFont="1" applyFill="1" applyBorder="1" applyAlignment="1">
      <alignment horizontal="right" vertical="center" indent="2"/>
    </xf>
    <xf numFmtId="3" fontId="166" fillId="114" borderId="503" xfId="0" applyNumberFormat="1" applyFont="1" applyFill="1" applyBorder="1" applyAlignment="1">
      <alignment horizontal="right" vertical="center" indent="2"/>
    </xf>
    <xf numFmtId="3" fontId="166" fillId="114" borderId="504" xfId="0" applyNumberFormat="1" applyFont="1" applyFill="1" applyBorder="1" applyAlignment="1">
      <alignment horizontal="right" vertical="center" indent="2"/>
    </xf>
    <xf numFmtId="0" fontId="169" fillId="0" borderId="0" xfId="0" applyFont="1" applyAlignment="1">
      <alignment wrapText="1"/>
    </xf>
    <xf numFmtId="0" fontId="88" fillId="112" borderId="498" xfId="0" applyFont="1" applyFill="1" applyBorder="1" applyAlignment="1">
      <alignment horizontal="left" vertical="center" wrapText="1"/>
    </xf>
    <xf numFmtId="0" fontId="88" fillId="0" borderId="498" xfId="0" applyFont="1" applyBorder="1" applyAlignment="1">
      <alignment horizontal="left" vertical="center" wrapText="1"/>
    </xf>
    <xf numFmtId="3" fontId="166" fillId="0" borderId="475" xfId="0" applyNumberFormat="1" applyFont="1" applyBorder="1" applyAlignment="1">
      <alignment horizontal="right" vertical="center" wrapText="1" indent="2"/>
    </xf>
    <xf numFmtId="3" fontId="166" fillId="0" borderId="492" xfId="0" applyNumberFormat="1" applyFont="1" applyBorder="1" applyAlignment="1">
      <alignment horizontal="right" vertical="center" wrapText="1" indent="2"/>
    </xf>
    <xf numFmtId="3" fontId="166" fillId="0" borderId="502" xfId="0" applyNumberFormat="1" applyFont="1" applyBorder="1" applyAlignment="1">
      <alignment horizontal="right" vertical="center" wrapText="1" indent="2"/>
    </xf>
    <xf numFmtId="3" fontId="166" fillId="112" borderId="475" xfId="0" applyNumberFormat="1" applyFont="1" applyFill="1" applyBorder="1" applyAlignment="1">
      <alignment horizontal="right" vertical="center" wrapText="1" indent="2"/>
    </xf>
    <xf numFmtId="3" fontId="166" fillId="112" borderId="499" xfId="0" applyNumberFormat="1" applyFont="1" applyFill="1" applyBorder="1" applyAlignment="1">
      <alignment horizontal="right" vertical="center" wrapText="1" indent="2"/>
    </xf>
    <xf numFmtId="3" fontId="166" fillId="0" borderId="499" xfId="0" applyNumberFormat="1" applyFont="1" applyBorder="1" applyAlignment="1">
      <alignment horizontal="right" vertical="center" wrapText="1" indent="2"/>
    </xf>
    <xf numFmtId="0" fontId="88" fillId="0" borderId="498" xfId="0" applyFont="1" applyBorder="1" applyAlignment="1">
      <alignment horizontal="left" vertical="center" wrapText="1" indent="1"/>
    </xf>
    <xf numFmtId="0" fontId="88" fillId="112" borderId="498" xfId="0" applyFont="1" applyFill="1" applyBorder="1" applyAlignment="1">
      <alignment horizontal="left" vertical="center" wrapText="1" indent="1"/>
    </xf>
    <xf numFmtId="0" fontId="112" fillId="98" borderId="92" xfId="0" applyFont="1" applyFill="1" applyBorder="1" applyAlignment="1">
      <alignment horizontal="center" vertical="center" wrapText="1"/>
    </xf>
    <xf numFmtId="0" fontId="112" fillId="98" borderId="78" xfId="0" applyFont="1" applyFill="1" applyBorder="1" applyAlignment="1">
      <alignment horizontal="center" vertical="center"/>
    </xf>
    <xf numFmtId="0" fontId="112" fillId="98" borderId="78" xfId="0" applyFont="1" applyFill="1" applyBorder="1" applyAlignment="1">
      <alignment horizontal="center" vertical="center" wrapText="1"/>
    </xf>
    <xf numFmtId="0" fontId="112" fillId="98" borderId="58" xfId="0" applyFont="1" applyFill="1" applyBorder="1" applyAlignment="1">
      <alignment horizontal="center" vertical="center" wrapText="1"/>
    </xf>
    <xf numFmtId="43" fontId="79" fillId="98" borderId="159" xfId="147" applyFont="1" applyFill="1" applyBorder="1" applyAlignment="1">
      <alignment horizontal="center" vertical="center"/>
    </xf>
    <xf numFmtId="49" fontId="79" fillId="98" borderId="67" xfId="147" applyNumberFormat="1" applyFont="1" applyFill="1" applyBorder="1" applyAlignment="1">
      <alignment horizontal="center" vertical="center" wrapText="1"/>
    </xf>
    <xf numFmtId="49" fontId="79" fillId="98" borderId="68" xfId="147" applyNumberFormat="1" applyFont="1" applyFill="1" applyBorder="1" applyAlignment="1">
      <alignment horizontal="center" vertical="center" wrapText="1"/>
    </xf>
    <xf numFmtId="0" fontId="13" fillId="0" borderId="101" xfId="0" applyFont="1" applyBorder="1" applyAlignment="1">
      <alignment horizontal="left" vertical="center" indent="1"/>
    </xf>
    <xf numFmtId="3" fontId="13" fillId="0" borderId="509" xfId="0" applyNumberFormat="1" applyFont="1" applyBorder="1" applyAlignment="1">
      <alignment horizontal="center" vertical="center"/>
    </xf>
    <xf numFmtId="3" fontId="13" fillId="0" borderId="510" xfId="0" applyNumberFormat="1" applyFont="1" applyBorder="1" applyAlignment="1">
      <alignment horizontal="center" vertical="center"/>
    </xf>
    <xf numFmtId="3" fontId="79" fillId="95" borderId="53" xfId="0" applyNumberFormat="1" applyFont="1" applyFill="1" applyBorder="1" applyAlignment="1">
      <alignment horizontal="center" vertical="center"/>
    </xf>
    <xf numFmtId="3" fontId="79" fillId="95" borderId="61" xfId="0" applyNumberFormat="1" applyFont="1" applyFill="1" applyBorder="1" applyAlignment="1">
      <alignment horizontal="center" vertical="center"/>
    </xf>
    <xf numFmtId="169" fontId="79" fillId="95" borderId="34" xfId="1" applyNumberFormat="1" applyFont="1" applyFill="1" applyBorder="1" applyAlignment="1">
      <alignment horizontal="center" vertical="center"/>
    </xf>
    <xf numFmtId="10" fontId="79" fillId="95" borderId="34" xfId="1" applyNumberFormat="1" applyFont="1" applyFill="1" applyBorder="1" applyAlignment="1">
      <alignment horizontal="center" vertical="center"/>
    </xf>
    <xf numFmtId="169" fontId="79" fillId="95" borderId="42" xfId="1" applyNumberFormat="1" applyFont="1" applyFill="1" applyBorder="1" applyAlignment="1">
      <alignment horizontal="center" vertical="center"/>
    </xf>
    <xf numFmtId="0" fontId="173" fillId="0" borderId="0" xfId="0" applyFont="1" applyAlignment="1">
      <alignment wrapText="1"/>
    </xf>
    <xf numFmtId="3" fontId="174" fillId="0" borderId="0" xfId="0" applyNumberFormat="1" applyFont="1" applyAlignment="1">
      <alignment horizontal="right" wrapText="1"/>
    </xf>
    <xf numFmtId="0" fontId="79" fillId="98" borderId="441" xfId="0" applyFont="1" applyFill="1" applyBorder="1" applyAlignment="1">
      <alignment horizontal="center" vertical="center"/>
    </xf>
    <xf numFmtId="0" fontId="79" fillId="98" borderId="442" xfId="0" applyFont="1" applyFill="1" applyBorder="1" applyAlignment="1">
      <alignment horizontal="center" vertical="center"/>
    </xf>
    <xf numFmtId="3" fontId="13" fillId="0" borderId="289" xfId="0" applyNumberFormat="1" applyFont="1" applyBorder="1" applyAlignment="1">
      <alignment horizontal="right" vertical="center" indent="1"/>
    </xf>
    <xf numFmtId="3" fontId="13" fillId="0" borderId="290" xfId="0" applyNumberFormat="1" applyFont="1" applyBorder="1" applyAlignment="1">
      <alignment horizontal="right" vertical="center" indent="1"/>
    </xf>
    <xf numFmtId="3" fontId="13" fillId="97" borderId="292" xfId="0" applyNumberFormat="1" applyFont="1" applyFill="1" applyBorder="1" applyAlignment="1">
      <alignment horizontal="right" vertical="center" indent="1"/>
    </xf>
    <xf numFmtId="3" fontId="13" fillId="97" borderId="293" xfId="0" applyNumberFormat="1" applyFont="1" applyFill="1" applyBorder="1" applyAlignment="1">
      <alignment horizontal="right" vertical="center" indent="1"/>
    </xf>
    <xf numFmtId="3" fontId="13" fillId="101" borderId="292" xfId="0" applyNumberFormat="1" applyFont="1" applyFill="1" applyBorder="1" applyAlignment="1">
      <alignment horizontal="right" vertical="center" indent="1"/>
    </xf>
    <xf numFmtId="3" fontId="13" fillId="101" borderId="293" xfId="0" applyNumberFormat="1" applyFont="1" applyFill="1" applyBorder="1" applyAlignment="1">
      <alignment horizontal="right" vertical="center" indent="1"/>
    </xf>
    <xf numFmtId="3" fontId="13" fillId="0" borderId="292" xfId="0" applyNumberFormat="1" applyFont="1" applyBorder="1" applyAlignment="1">
      <alignment horizontal="right" vertical="center" indent="1"/>
    </xf>
    <xf numFmtId="3" fontId="13" fillId="0" borderId="293" xfId="0" applyNumberFormat="1" applyFont="1" applyBorder="1" applyAlignment="1">
      <alignment horizontal="right" vertical="center" indent="1"/>
    </xf>
    <xf numFmtId="3" fontId="13" fillId="101" borderId="446" xfId="0" applyNumberFormat="1" applyFont="1" applyFill="1" applyBorder="1" applyAlignment="1">
      <alignment horizontal="right" vertical="center" indent="1"/>
    </xf>
    <xf numFmtId="3" fontId="13" fillId="101" borderId="447" xfId="0" applyNumberFormat="1" applyFont="1" applyFill="1" applyBorder="1" applyAlignment="1">
      <alignment horizontal="right" vertical="center" indent="1"/>
    </xf>
    <xf numFmtId="3" fontId="173" fillId="0" borderId="0" xfId="0" applyNumberFormat="1" applyFont="1" applyAlignment="1">
      <alignment horizontal="right" wrapText="1"/>
    </xf>
    <xf numFmtId="0" fontId="13" fillId="0" borderId="451" xfId="0" applyFont="1" applyBorder="1" applyAlignment="1">
      <alignment horizontal="left" vertical="center" indent="1"/>
    </xf>
    <xf numFmtId="0" fontId="13" fillId="97" borderId="73" xfId="0" applyFont="1" applyFill="1" applyBorder="1" applyAlignment="1">
      <alignment horizontal="left" vertical="center" indent="1"/>
    </xf>
    <xf numFmtId="3" fontId="13" fillId="0" borderId="452" xfId="0" applyNumberFormat="1" applyFont="1" applyBorder="1" applyAlignment="1">
      <alignment horizontal="right" vertical="center" indent="1"/>
    </xf>
    <xf numFmtId="3" fontId="13" fillId="0" borderId="453" xfId="0" applyNumberFormat="1" applyFont="1" applyBorder="1" applyAlignment="1">
      <alignment horizontal="right" vertical="center" indent="1"/>
    </xf>
    <xf numFmtId="3" fontId="13" fillId="97" borderId="32" xfId="0" applyNumberFormat="1" applyFont="1" applyFill="1" applyBorder="1" applyAlignment="1">
      <alignment horizontal="right" vertical="center" indent="1"/>
    </xf>
    <xf numFmtId="3" fontId="13" fillId="97" borderId="74" xfId="0" applyNumberFormat="1" applyFont="1" applyFill="1" applyBorder="1" applyAlignment="1">
      <alignment horizontal="right" vertical="center" indent="1"/>
    </xf>
    <xf numFmtId="3" fontId="79" fillId="95" borderId="53" xfId="0" applyNumberFormat="1" applyFont="1" applyFill="1" applyBorder="1" applyAlignment="1">
      <alignment horizontal="right" vertical="center" indent="1"/>
    </xf>
    <xf numFmtId="3" fontId="79" fillId="95" borderId="61" xfId="0" applyNumberFormat="1" applyFont="1" applyFill="1" applyBorder="1" applyAlignment="1">
      <alignment horizontal="right" vertical="center" indent="1"/>
    </xf>
    <xf numFmtId="169" fontId="79" fillId="95" borderId="34" xfId="1" applyNumberFormat="1" applyFont="1" applyFill="1" applyBorder="1" applyAlignment="1">
      <alignment horizontal="right" vertical="center" indent="1"/>
    </xf>
    <xf numFmtId="169" fontId="79" fillId="95" borderId="42" xfId="1" applyNumberFormat="1" applyFont="1" applyFill="1" applyBorder="1" applyAlignment="1">
      <alignment horizontal="right" vertical="center" indent="1"/>
    </xf>
    <xf numFmtId="3" fontId="64" fillId="0" borderId="31" xfId="0" applyNumberFormat="1" applyFont="1" applyBorder="1" applyAlignment="1">
      <alignment horizontal="right" vertical="center" indent="1"/>
    </xf>
    <xf numFmtId="3" fontId="64" fillId="0" borderId="165" xfId="0" applyNumberFormat="1" applyFont="1" applyBorder="1" applyAlignment="1">
      <alignment horizontal="right" vertical="center" indent="1"/>
    </xf>
    <xf numFmtId="3" fontId="64" fillId="97" borderId="165" xfId="0" applyNumberFormat="1" applyFont="1" applyFill="1" applyBorder="1" applyAlignment="1">
      <alignment horizontal="right" vertical="center" indent="1"/>
    </xf>
    <xf numFmtId="3" fontId="175" fillId="0" borderId="160" xfId="0" applyNumberFormat="1" applyFont="1" applyBorder="1" applyAlignment="1">
      <alignment horizontal="right" vertical="center" indent="1"/>
    </xf>
    <xf numFmtId="3" fontId="175" fillId="0" borderId="165" xfId="0" applyNumberFormat="1" applyFont="1" applyBorder="1" applyAlignment="1">
      <alignment horizontal="right" vertical="center" indent="1"/>
    </xf>
    <xf numFmtId="169" fontId="176" fillId="97" borderId="198" xfId="1" applyNumberFormat="1" applyFont="1" applyFill="1" applyBorder="1" applyAlignment="1">
      <alignment horizontal="right" vertical="center" indent="1"/>
    </xf>
    <xf numFmtId="169" fontId="176" fillId="97" borderId="199" xfId="1" applyNumberFormat="1" applyFont="1" applyFill="1" applyBorder="1" applyAlignment="1">
      <alignment horizontal="right" vertical="center" indent="1"/>
    </xf>
    <xf numFmtId="3" fontId="79" fillId="100" borderId="513" xfId="0" applyNumberFormat="1" applyFont="1" applyFill="1" applyBorder="1" applyAlignment="1">
      <alignment horizontal="center" vertical="center" wrapText="1"/>
    </xf>
    <xf numFmtId="169" fontId="79" fillId="100" borderId="514" xfId="1" applyNumberFormat="1" applyFont="1" applyFill="1" applyBorder="1" applyAlignment="1">
      <alignment horizontal="center" vertical="center" wrapText="1"/>
    </xf>
    <xf numFmtId="3" fontId="13" fillId="0" borderId="160" xfId="0" applyNumberFormat="1" applyFont="1" applyBorder="1" applyAlignment="1">
      <alignment horizontal="center" vertical="center"/>
    </xf>
    <xf numFmtId="169" fontId="13" fillId="0" borderId="165" xfId="1" applyNumberFormat="1" applyFont="1" applyBorder="1" applyAlignment="1">
      <alignment horizontal="center" vertical="center"/>
    </xf>
    <xf numFmtId="3" fontId="13" fillId="97" borderId="511" xfId="0" applyNumberFormat="1" applyFont="1" applyFill="1" applyBorder="1" applyAlignment="1">
      <alignment horizontal="center" vertical="center"/>
    </xf>
    <xf numFmtId="169" fontId="13" fillId="97" borderId="165" xfId="1" applyNumberFormat="1" applyFont="1" applyFill="1" applyBorder="1" applyAlignment="1">
      <alignment horizontal="center" vertical="center"/>
    </xf>
    <xf numFmtId="3" fontId="13" fillId="97" borderId="160" xfId="0" applyNumberFormat="1" applyFont="1" applyFill="1" applyBorder="1" applyAlignment="1">
      <alignment horizontal="center" vertical="center"/>
    </xf>
    <xf numFmtId="3" fontId="13" fillId="101" borderId="160" xfId="0" applyNumberFormat="1" applyFont="1" applyFill="1" applyBorder="1" applyAlignment="1">
      <alignment horizontal="center" vertical="center"/>
    </xf>
    <xf numFmtId="169" fontId="13" fillId="101" borderId="165" xfId="1" applyNumberFormat="1" applyFont="1" applyFill="1" applyBorder="1" applyAlignment="1">
      <alignment horizontal="center" vertical="center"/>
    </xf>
    <xf numFmtId="0" fontId="79" fillId="100" borderId="512" xfId="0" applyFont="1" applyFill="1" applyBorder="1" applyAlignment="1">
      <alignment horizontal="left" vertical="center" wrapText="1"/>
    </xf>
    <xf numFmtId="3" fontId="112" fillId="100" borderId="245" xfId="0" applyNumberFormat="1" applyFont="1" applyFill="1" applyBorder="1" applyAlignment="1">
      <alignment horizontal="left" vertical="center"/>
    </xf>
    <xf numFmtId="49" fontId="64" fillId="0" borderId="320" xfId="0" applyNumberFormat="1" applyFont="1" applyBorder="1" applyAlignment="1">
      <alignment horizontal="left" vertical="center" indent="1"/>
    </xf>
    <xf numFmtId="49" fontId="64" fillId="97" borderId="320" xfId="0" applyNumberFormat="1" applyFont="1" applyFill="1" applyBorder="1" applyAlignment="1">
      <alignment horizontal="left" vertical="center" indent="1"/>
    </xf>
    <xf numFmtId="9" fontId="2" fillId="0" borderId="0" xfId="1" applyFont="1" applyAlignment="1">
      <alignment horizontal="center" vertical="center"/>
    </xf>
    <xf numFmtId="3" fontId="64" fillId="0" borderId="515" xfId="0" applyNumberFormat="1" applyFont="1" applyBorder="1" applyAlignment="1">
      <alignment horizontal="right" vertical="center" indent="1"/>
    </xf>
    <xf numFmtId="3" fontId="64" fillId="0" borderId="516" xfId="0" applyNumberFormat="1" applyFont="1" applyBorder="1" applyAlignment="1">
      <alignment horizontal="right" vertical="center" indent="1"/>
    </xf>
    <xf numFmtId="3" fontId="64" fillId="0" borderId="517" xfId="0" applyNumberFormat="1" applyFont="1" applyBorder="1" applyAlignment="1">
      <alignment horizontal="right" vertical="center" indent="1"/>
    </xf>
    <xf numFmtId="3" fontId="64" fillId="97" borderId="516" xfId="0" applyNumberFormat="1" applyFont="1" applyFill="1" applyBorder="1" applyAlignment="1">
      <alignment horizontal="right" vertical="center" indent="1"/>
    </xf>
    <xf numFmtId="169" fontId="64" fillId="0" borderId="516" xfId="1" applyNumberFormat="1" applyFont="1" applyBorder="1" applyAlignment="1">
      <alignment horizontal="left" vertical="center" indent="1"/>
    </xf>
    <xf numFmtId="49" fontId="64" fillId="0" borderId="515" xfId="0" applyNumberFormat="1" applyFont="1" applyBorder="1" applyAlignment="1">
      <alignment horizontal="left" vertical="center" indent="1"/>
    </xf>
    <xf numFmtId="49" fontId="64" fillId="97" borderId="516" xfId="0" applyNumberFormat="1" applyFont="1" applyFill="1" applyBorder="1" applyAlignment="1">
      <alignment horizontal="left" vertical="center" indent="1"/>
    </xf>
    <xf numFmtId="49" fontId="64" fillId="0" borderId="517" xfId="0" applyNumberFormat="1" applyFont="1" applyBorder="1" applyAlignment="1">
      <alignment horizontal="left" vertical="center" indent="1"/>
    </xf>
    <xf numFmtId="3" fontId="64" fillId="0" borderId="515" xfId="0" applyNumberFormat="1" applyFont="1" applyBorder="1" applyAlignment="1">
      <alignment horizontal="right" vertical="center"/>
    </xf>
    <xf numFmtId="3" fontId="64" fillId="97" borderId="516" xfId="0" applyNumberFormat="1" applyFont="1" applyFill="1" applyBorder="1" applyAlignment="1">
      <alignment vertical="center"/>
    </xf>
    <xf numFmtId="3" fontId="64" fillId="97" borderId="516" xfId="0" applyNumberFormat="1" applyFont="1" applyFill="1" applyBorder="1" applyAlignment="1">
      <alignment horizontal="right" vertical="center"/>
    </xf>
    <xf numFmtId="3" fontId="64" fillId="0" borderId="516" xfId="0" applyNumberFormat="1" applyFont="1" applyBorder="1" applyAlignment="1">
      <alignment horizontal="right" vertical="center"/>
    </xf>
    <xf numFmtId="3" fontId="64" fillId="0" borderId="517" xfId="0" applyNumberFormat="1" applyFont="1" applyBorder="1" applyAlignment="1">
      <alignment horizontal="right" vertical="center"/>
    </xf>
    <xf numFmtId="0" fontId="13" fillId="0" borderId="180" xfId="0" applyFont="1" applyBorder="1" applyAlignment="1">
      <alignment horizontal="left" vertical="center" wrapText="1" indent="1"/>
    </xf>
    <xf numFmtId="0" fontId="13" fillId="97" borderId="180" xfId="0" applyFont="1" applyFill="1" applyBorder="1" applyAlignment="1">
      <alignment horizontal="left" vertical="center" wrapText="1" indent="1"/>
    </xf>
    <xf numFmtId="3" fontId="2" fillId="0" borderId="0" xfId="0" applyNumberFormat="1" applyFont="1"/>
    <xf numFmtId="169" fontId="13" fillId="3" borderId="165" xfId="1" applyNumberFormat="1" applyFont="1" applyFill="1" applyBorder="1" applyAlignment="1">
      <alignment horizontal="right" vertical="center" indent="2"/>
    </xf>
    <xf numFmtId="169" fontId="13" fillId="97" borderId="165" xfId="1" applyNumberFormat="1" applyFont="1" applyFill="1" applyBorder="1" applyAlignment="1">
      <alignment horizontal="right" vertical="center" indent="2"/>
    </xf>
    <xf numFmtId="0" fontId="13" fillId="3" borderId="180" xfId="0" applyFont="1" applyFill="1" applyBorder="1" applyAlignment="1">
      <alignment horizontal="left" vertical="center" wrapText="1" indent="1"/>
    </xf>
    <xf numFmtId="3" fontId="13" fillId="3" borderId="241" xfId="0" applyNumberFormat="1" applyFont="1" applyFill="1" applyBorder="1" applyAlignment="1">
      <alignment horizontal="right" vertical="center" indent="2"/>
    </xf>
    <xf numFmtId="3" fontId="13" fillId="3" borderId="160" xfId="0" applyNumberFormat="1" applyFont="1" applyFill="1" applyBorder="1" applyAlignment="1">
      <alignment horizontal="right" vertical="center" indent="2"/>
    </xf>
    <xf numFmtId="0" fontId="13" fillId="3" borderId="240" xfId="0" applyFont="1" applyFill="1" applyBorder="1" applyAlignment="1">
      <alignment horizontal="left" vertical="center" indent="1"/>
    </xf>
    <xf numFmtId="9" fontId="112" fillId="100" borderId="523" xfId="1" applyFont="1" applyFill="1" applyBorder="1" applyAlignment="1">
      <alignment horizontal="right" vertical="center" indent="2"/>
    </xf>
    <xf numFmtId="3" fontId="112" fillId="100" borderId="467" xfId="0" applyNumberFormat="1" applyFont="1" applyFill="1" applyBorder="1" applyAlignment="1">
      <alignment horizontal="right" vertical="center" indent="2"/>
    </xf>
    <xf numFmtId="169" fontId="13" fillId="0" borderId="242" xfId="1" applyNumberFormat="1" applyFont="1" applyBorder="1" applyAlignment="1">
      <alignment horizontal="right" vertical="center" indent="2"/>
    </xf>
    <xf numFmtId="3" fontId="103" fillId="0" borderId="237" xfId="0" applyNumberFormat="1" applyFont="1" applyBorder="1" applyAlignment="1">
      <alignment horizontal="right" vertical="center" indent="1"/>
    </xf>
    <xf numFmtId="3" fontId="103" fillId="97" borderId="237" xfId="0" applyNumberFormat="1" applyFont="1" applyFill="1" applyBorder="1" applyAlignment="1">
      <alignment horizontal="right" vertical="center" indent="1"/>
    </xf>
    <xf numFmtId="3" fontId="103" fillId="101" borderId="237" xfId="0" applyNumberFormat="1" applyFont="1" applyFill="1" applyBorder="1" applyAlignment="1">
      <alignment horizontal="right" vertical="center" indent="1"/>
    </xf>
    <xf numFmtId="0" fontId="135" fillId="97" borderId="43" xfId="0" applyNumberFormat="1" applyFont="1" applyFill="1" applyBorder="1" applyAlignment="1" applyProtection="1">
      <alignment horizontal="left" vertical="center" wrapText="1" indent="2"/>
    </xf>
    <xf numFmtId="0" fontId="135" fillId="3" borderId="43" xfId="0" applyNumberFormat="1" applyFont="1" applyFill="1" applyBorder="1" applyAlignment="1" applyProtection="1">
      <alignment horizontal="left" vertical="center" wrapText="1" indent="2"/>
    </xf>
    <xf numFmtId="0" fontId="103" fillId="0" borderId="254" xfId="0" applyFont="1" applyBorder="1" applyAlignment="1">
      <alignment horizontal="left" vertical="center" indent="1"/>
    </xf>
    <xf numFmtId="3" fontId="103" fillId="0" borderId="160" xfId="0" applyNumberFormat="1" applyFont="1" applyBorder="1" applyAlignment="1">
      <alignment horizontal="right" vertical="center" indent="2"/>
    </xf>
    <xf numFmtId="0" fontId="103" fillId="97" borderId="254" xfId="0" applyFont="1" applyFill="1" applyBorder="1" applyAlignment="1">
      <alignment horizontal="left" vertical="center" indent="1"/>
    </xf>
    <xf numFmtId="3" fontId="103" fillId="97" borderId="160" xfId="0" applyNumberFormat="1" applyFont="1" applyFill="1" applyBorder="1" applyAlignment="1">
      <alignment horizontal="right" vertical="center" indent="2"/>
    </xf>
    <xf numFmtId="3" fontId="149" fillId="100" borderId="528" xfId="0" applyNumberFormat="1" applyFont="1" applyFill="1" applyBorder="1" applyAlignment="1">
      <alignment horizontal="left" vertical="center" indent="1"/>
    </xf>
    <xf numFmtId="3" fontId="149" fillId="100" borderId="213" xfId="0" applyNumberFormat="1" applyFont="1" applyFill="1" applyBorder="1" applyAlignment="1">
      <alignment horizontal="right" vertical="center" indent="2"/>
    </xf>
    <xf numFmtId="169" fontId="149" fillId="100" borderId="258" xfId="1" applyNumberFormat="1" applyFont="1" applyFill="1" applyBorder="1" applyAlignment="1">
      <alignment horizontal="left" vertical="center" indent="1"/>
    </xf>
    <xf numFmtId="0" fontId="148" fillId="100" borderId="438" xfId="0" applyFont="1" applyFill="1" applyBorder="1" applyAlignment="1">
      <alignment horizontal="center" vertical="center" wrapText="1"/>
    </xf>
    <xf numFmtId="0" fontId="148" fillId="100" borderId="280" xfId="0" applyFont="1" applyFill="1" applyBorder="1" applyAlignment="1">
      <alignment horizontal="center" vertical="center" wrapText="1"/>
    </xf>
    <xf numFmtId="0" fontId="148" fillId="100" borderId="281" xfId="0" applyFont="1" applyFill="1" applyBorder="1" applyAlignment="1">
      <alignment horizontal="center" vertical="center" wrapText="1"/>
    </xf>
    <xf numFmtId="0" fontId="153" fillId="0" borderId="530" xfId="0" applyFont="1" applyBorder="1" applyAlignment="1">
      <alignment horizontal="left" vertical="center" indent="1"/>
    </xf>
    <xf numFmtId="0" fontId="153" fillId="97" borderId="530" xfId="0" applyFont="1" applyFill="1" applyBorder="1" applyAlignment="1">
      <alignment horizontal="left" vertical="center" indent="1"/>
    </xf>
    <xf numFmtId="169" fontId="103" fillId="0" borderId="525" xfId="1" applyNumberFormat="1" applyFont="1" applyBorder="1" applyAlignment="1">
      <alignment horizontal="right" vertical="center" indent="2"/>
    </xf>
    <xf numFmtId="169" fontId="103" fillId="97" borderId="525" xfId="1" applyNumberFormat="1" applyFont="1" applyFill="1" applyBorder="1" applyAlignment="1">
      <alignment horizontal="right" vertical="center" indent="2"/>
    </xf>
    <xf numFmtId="169" fontId="149" fillId="100" borderId="529" xfId="1" applyNumberFormat="1" applyFont="1" applyFill="1" applyBorder="1" applyAlignment="1">
      <alignment horizontal="right" vertical="center" indent="2"/>
    </xf>
    <xf numFmtId="0" fontId="62" fillId="0" borderId="0" xfId="0" applyFont="1"/>
    <xf numFmtId="3" fontId="112" fillId="100" borderId="236" xfId="0" applyNumberFormat="1" applyFont="1" applyFill="1" applyBorder="1" applyAlignment="1">
      <alignment horizontal="left" vertical="center" wrapText="1" indent="1"/>
    </xf>
    <xf numFmtId="0" fontId="62" fillId="0" borderId="532" xfId="0" applyFont="1" applyBorder="1" applyAlignment="1">
      <alignment horizontal="left" vertical="center" indent="1"/>
    </xf>
    <xf numFmtId="0" fontId="62" fillId="97" borderId="532" xfId="0" applyFont="1" applyFill="1" applyBorder="1" applyAlignment="1">
      <alignment horizontal="left" vertical="center" indent="1"/>
    </xf>
    <xf numFmtId="0" fontId="122" fillId="97" borderId="532" xfId="0" applyFont="1" applyFill="1" applyBorder="1" applyAlignment="1">
      <alignment horizontal="left" vertical="center" indent="1"/>
    </xf>
    <xf numFmtId="49" fontId="88" fillId="97" borderId="418" xfId="0" applyNumberFormat="1" applyFont="1" applyFill="1" applyBorder="1" applyAlignment="1">
      <alignment horizontal="left" vertical="center" indent="1"/>
    </xf>
    <xf numFmtId="49" fontId="88" fillId="3" borderId="418" xfId="0" applyNumberFormat="1" applyFont="1" applyFill="1" applyBorder="1" applyAlignment="1">
      <alignment horizontal="left" vertical="center" indent="1"/>
    </xf>
    <xf numFmtId="0" fontId="136" fillId="98" borderId="48" xfId="0" applyFont="1" applyFill="1" applyBorder="1" applyAlignment="1">
      <alignment horizontal="center" vertical="center"/>
    </xf>
    <xf numFmtId="3" fontId="148" fillId="100" borderId="533" xfId="0" applyNumberFormat="1" applyFont="1" applyFill="1" applyBorder="1" applyAlignment="1">
      <alignment horizontal="right" vertical="center" wrapText="1" indent="1" readingOrder="1"/>
    </xf>
    <xf numFmtId="169" fontId="148" fillId="100" borderId="534" xfId="1" applyNumberFormat="1" applyFont="1" applyFill="1" applyBorder="1" applyAlignment="1">
      <alignment horizontal="right" vertical="center" wrapText="1" indent="1" readingOrder="1"/>
    </xf>
    <xf numFmtId="0" fontId="62" fillId="98" borderId="535" xfId="0" applyFont="1" applyFill="1" applyBorder="1"/>
    <xf numFmtId="0" fontId="0" fillId="0" borderId="0" xfId="0"/>
    <xf numFmtId="3" fontId="0" fillId="0" borderId="0" xfId="0" applyNumberFormat="1"/>
    <xf numFmtId="0" fontId="184" fillId="98" borderId="48" xfId="0" applyFont="1" applyFill="1" applyBorder="1" applyAlignment="1">
      <alignment horizontal="center" vertical="center" wrapText="1"/>
    </xf>
    <xf numFmtId="0" fontId="184" fillId="98" borderId="310" xfId="0" applyFont="1" applyFill="1" applyBorder="1" applyAlignment="1">
      <alignment horizontal="center" vertical="center" wrapText="1"/>
    </xf>
    <xf numFmtId="0" fontId="184" fillId="98" borderId="536" xfId="0" applyFont="1" applyFill="1" applyBorder="1" applyAlignment="1">
      <alignment horizontal="center" vertical="center" wrapText="1"/>
    </xf>
    <xf numFmtId="0" fontId="103" fillId="97" borderId="291" xfId="0" applyFont="1" applyFill="1" applyBorder="1" applyAlignment="1">
      <alignment horizontal="center" vertical="center"/>
    </xf>
    <xf numFmtId="3" fontId="103" fillId="97" borderId="292" xfId="0" applyNumberFormat="1" applyFont="1" applyFill="1" applyBorder="1" applyAlignment="1">
      <alignment horizontal="right" vertical="center" wrapText="1" indent="1"/>
    </xf>
    <xf numFmtId="169" fontId="103" fillId="97" borderId="292" xfId="1" applyNumberFormat="1" applyFont="1" applyFill="1" applyBorder="1" applyAlignment="1">
      <alignment horizontal="right" vertical="center" indent="1"/>
    </xf>
    <xf numFmtId="3" fontId="103" fillId="97" borderId="292" xfId="0" applyNumberFormat="1" applyFont="1" applyFill="1" applyBorder="1" applyAlignment="1">
      <alignment horizontal="right" vertical="center" indent="1"/>
    </xf>
    <xf numFmtId="169" fontId="103" fillId="97" borderId="293" xfId="1" applyNumberFormat="1" applyFont="1" applyFill="1" applyBorder="1" applyAlignment="1">
      <alignment horizontal="right" vertical="center" indent="1"/>
    </xf>
    <xf numFmtId="0" fontId="103" fillId="0" borderId="291" xfId="0" applyFont="1" applyBorder="1" applyAlignment="1">
      <alignment horizontal="center" vertical="center"/>
    </xf>
    <xf numFmtId="3" fontId="103" fillId="2" borderId="292" xfId="0" applyNumberFormat="1" applyFont="1" applyFill="1" applyBorder="1" applyAlignment="1">
      <alignment horizontal="right" vertical="center" wrapText="1" indent="1"/>
    </xf>
    <xf numFmtId="169" fontId="103" fillId="0" borderId="292" xfId="1" applyNumberFormat="1" applyFont="1" applyBorder="1" applyAlignment="1">
      <alignment horizontal="right" vertical="center" indent="1"/>
    </xf>
    <xf numFmtId="3" fontId="103" fillId="0" borderId="292" xfId="0" applyNumberFormat="1" applyFont="1" applyBorder="1" applyAlignment="1">
      <alignment horizontal="right" vertical="center" wrapText="1" indent="1"/>
    </xf>
    <xf numFmtId="3" fontId="103" fillId="0" borderId="292" xfId="0" applyNumberFormat="1" applyFont="1" applyBorder="1" applyAlignment="1">
      <alignment horizontal="right" vertical="center" indent="1"/>
    </xf>
    <xf numFmtId="169" fontId="103" fillId="0" borderId="293" xfId="1" applyNumberFormat="1" applyFont="1" applyBorder="1" applyAlignment="1">
      <alignment horizontal="right" vertical="center" indent="1"/>
    </xf>
    <xf numFmtId="169" fontId="13" fillId="0" borderId="0" xfId="1" applyNumberFormat="1" applyFont="1"/>
    <xf numFmtId="169" fontId="13" fillId="0" borderId="0" xfId="0" applyNumberFormat="1" applyFont="1"/>
    <xf numFmtId="0" fontId="136" fillId="98" borderId="287" xfId="0" applyFont="1" applyFill="1" applyBorder="1" applyAlignment="1">
      <alignment horizontal="center" vertical="center"/>
    </xf>
    <xf numFmtId="0" fontId="67" fillId="0" borderId="0" xfId="0" applyFont="1" applyAlignment="1">
      <alignment wrapText="1"/>
    </xf>
    <xf numFmtId="0" fontId="67" fillId="0" borderId="437" xfId="0" applyFont="1" applyBorder="1" applyAlignment="1">
      <alignment wrapText="1"/>
    </xf>
    <xf numFmtId="0" fontId="187" fillId="98" borderId="542" xfId="0" applyFont="1" applyFill="1" applyBorder="1" applyAlignment="1">
      <alignment horizontal="center" vertical="center" wrapText="1"/>
    </xf>
    <xf numFmtId="0" fontId="187" fillId="98" borderId="441" xfId="0" applyFont="1" applyFill="1" applyBorder="1" applyAlignment="1">
      <alignment horizontal="center" vertical="center" wrapText="1"/>
    </xf>
    <xf numFmtId="0" fontId="187" fillId="98" borderId="442" xfId="0" applyFont="1" applyFill="1" applyBorder="1" applyAlignment="1">
      <alignment horizontal="center" vertical="center" wrapText="1"/>
    </xf>
    <xf numFmtId="0" fontId="66" fillId="118" borderId="539" xfId="0" applyFont="1" applyFill="1" applyBorder="1" applyAlignment="1">
      <alignment horizontal="left" vertical="center" wrapText="1" indent="1"/>
    </xf>
    <xf numFmtId="3" fontId="66" fillId="118" borderId="540" xfId="0" applyNumberFormat="1" applyFont="1" applyFill="1" applyBorder="1" applyAlignment="1">
      <alignment horizontal="right" vertical="center" wrapText="1" indent="1"/>
    </xf>
    <xf numFmtId="10" fontId="66" fillId="118" borderId="541" xfId="0" applyNumberFormat="1" applyFont="1" applyFill="1" applyBorder="1" applyAlignment="1">
      <alignment horizontal="right" vertical="center" wrapText="1" indent="1"/>
    </xf>
    <xf numFmtId="0" fontId="90" fillId="0" borderId="539" xfId="0" applyFont="1" applyBorder="1" applyAlignment="1">
      <alignment horizontal="left" vertical="center" wrapText="1" indent="1"/>
    </xf>
    <xf numFmtId="3" fontId="90" fillId="0" borderId="540" xfId="0" applyNumberFormat="1" applyFont="1" applyBorder="1" applyAlignment="1">
      <alignment horizontal="right" vertical="center" wrapText="1" indent="1"/>
    </xf>
    <xf numFmtId="10" fontId="90" fillId="0" borderId="541" xfId="0" applyNumberFormat="1" applyFont="1" applyBorder="1" applyAlignment="1">
      <alignment horizontal="right" vertical="center" wrapText="1" indent="1"/>
    </xf>
    <xf numFmtId="0" fontId="90" fillId="0" borderId="540" xfId="0" applyFont="1" applyBorder="1" applyAlignment="1">
      <alignment horizontal="right" vertical="center" wrapText="1" indent="1"/>
    </xf>
    <xf numFmtId="0" fontId="66" fillId="118" borderId="540" xfId="0" applyFont="1" applyFill="1" applyBorder="1" applyAlignment="1">
      <alignment horizontal="right" vertical="center" wrapText="1" indent="1"/>
    </xf>
    <xf numFmtId="0" fontId="187" fillId="98" borderId="543" xfId="0" applyFont="1" applyFill="1" applyBorder="1" applyAlignment="1">
      <alignment horizontal="left" vertical="center" wrapText="1" indent="1"/>
    </xf>
    <xf numFmtId="3" fontId="187" fillId="98" borderId="262" xfId="0" applyNumberFormat="1" applyFont="1" applyFill="1" applyBorder="1" applyAlignment="1">
      <alignment horizontal="right" vertical="center" wrapText="1" indent="1"/>
    </xf>
    <xf numFmtId="10" fontId="187" fillId="98" borderId="260" xfId="0" applyNumberFormat="1" applyFont="1" applyFill="1" applyBorder="1" applyAlignment="1">
      <alignment horizontal="right" vertical="center" wrapText="1" indent="1"/>
    </xf>
    <xf numFmtId="0" fontId="67" fillId="0" borderId="0" xfId="0" applyFont="1" applyBorder="1" applyAlignment="1">
      <alignment wrapText="1"/>
    </xf>
    <xf numFmtId="0" fontId="62" fillId="0" borderId="252" xfId="0" applyFont="1" applyBorder="1" applyAlignment="1">
      <alignment horizontal="left" vertical="center" indent="1"/>
    </xf>
    <xf numFmtId="3" fontId="62" fillId="0" borderId="120" xfId="1616" applyNumberFormat="1" applyFont="1" applyBorder="1" applyAlignment="1">
      <alignment horizontal="center" vertical="top"/>
    </xf>
    <xf numFmtId="3" fontId="62" fillId="0" borderId="253" xfId="1616" applyNumberFormat="1" applyFont="1" applyBorder="1" applyAlignment="1">
      <alignment horizontal="center" vertical="top"/>
    </xf>
    <xf numFmtId="0" fontId="62" fillId="97" borderId="254" xfId="0" applyFont="1" applyFill="1" applyBorder="1" applyAlignment="1">
      <alignment horizontal="left" vertical="center" indent="1"/>
    </xf>
    <xf numFmtId="3" fontId="62" fillId="97" borderId="106" xfId="1616" applyNumberFormat="1" applyFont="1" applyFill="1" applyBorder="1" applyAlignment="1">
      <alignment horizontal="center" vertical="top"/>
    </xf>
    <xf numFmtId="3" fontId="62" fillId="97" borderId="255" xfId="1616" applyNumberFormat="1" applyFont="1" applyFill="1" applyBorder="1" applyAlignment="1">
      <alignment horizontal="center" vertical="top"/>
    </xf>
    <xf numFmtId="0" fontId="62" fillId="0" borderId="254" xfId="0" applyFont="1" applyBorder="1" applyAlignment="1">
      <alignment horizontal="left" vertical="center" indent="1"/>
    </xf>
    <xf numFmtId="3" fontId="62" fillId="0" borderId="106" xfId="1616" applyNumberFormat="1" applyFont="1" applyBorder="1" applyAlignment="1">
      <alignment horizontal="center" vertical="top"/>
    </xf>
    <xf numFmtId="3" fontId="62" fillId="0" borderId="255" xfId="1616" applyNumberFormat="1" applyFont="1" applyBorder="1" applyAlignment="1">
      <alignment horizontal="center" vertical="top"/>
    </xf>
    <xf numFmtId="0" fontId="122" fillId="97" borderId="254" xfId="0" applyFont="1" applyFill="1" applyBorder="1" applyAlignment="1">
      <alignment horizontal="left" vertical="center" indent="1"/>
    </xf>
    <xf numFmtId="0" fontId="112" fillId="95" borderId="274" xfId="0" applyFont="1" applyFill="1" applyBorder="1" applyAlignment="1">
      <alignment horizontal="left" vertical="center"/>
    </xf>
    <xf numFmtId="3" fontId="112" fillId="95" borderId="544" xfId="0" applyNumberFormat="1" applyFont="1" applyFill="1" applyBorder="1" applyAlignment="1">
      <alignment horizontal="center" vertical="center" wrapText="1" readingOrder="1"/>
    </xf>
    <xf numFmtId="3" fontId="112" fillId="95" borderId="545" xfId="0" applyNumberFormat="1" applyFont="1" applyFill="1" applyBorder="1" applyAlignment="1">
      <alignment horizontal="center" vertical="center" wrapText="1" readingOrder="1"/>
    </xf>
    <xf numFmtId="0" fontId="188" fillId="0" borderId="0" xfId="0" applyFont="1"/>
    <xf numFmtId="3" fontId="75" fillId="0" borderId="0" xfId="0" applyNumberFormat="1" applyFont="1"/>
    <xf numFmtId="0" fontId="136" fillId="98" borderId="39" xfId="0" applyFont="1" applyFill="1" applyBorder="1" applyAlignment="1">
      <alignment horizontal="left" vertical="center" wrapText="1" indent="1" readingOrder="1"/>
    </xf>
    <xf numFmtId="0" fontId="136" fillId="98" borderId="41" xfId="0" applyFont="1" applyFill="1" applyBorder="1" applyAlignment="1">
      <alignment horizontal="left" vertical="center" wrapText="1" indent="1" readingOrder="1"/>
    </xf>
    <xf numFmtId="0" fontId="79" fillId="95" borderId="48" xfId="0" applyFont="1" applyFill="1" applyBorder="1" applyAlignment="1">
      <alignment horizontal="center" vertical="center" wrapText="1" readingOrder="1"/>
    </xf>
    <xf numFmtId="0" fontId="79" fillId="95" borderId="287" xfId="0" applyFont="1" applyFill="1" applyBorder="1" applyAlignment="1">
      <alignment horizontal="center" vertical="center" wrapText="1" readingOrder="1"/>
    </xf>
    <xf numFmtId="0" fontId="136" fillId="95" borderId="256" xfId="0" applyFont="1" applyFill="1" applyBorder="1" applyAlignment="1">
      <alignment horizontal="left" vertical="center" wrapText="1" indent="1" readingOrder="1"/>
    </xf>
    <xf numFmtId="0" fontId="136" fillId="95" borderId="258" xfId="0" applyFont="1" applyFill="1" applyBorder="1" applyAlignment="1">
      <alignment horizontal="left" vertical="center" wrapText="1" indent="1" readingOrder="1"/>
    </xf>
    <xf numFmtId="0" fontId="55" fillId="0" borderId="267" xfId="0" applyFont="1" applyBorder="1" applyAlignment="1">
      <alignment horizontal="left" vertical="center" wrapText="1" indent="1" readingOrder="1"/>
    </xf>
    <xf numFmtId="3" fontId="55" fillId="0" borderId="104" xfId="0" applyNumberFormat="1" applyFont="1" applyBorder="1" applyAlignment="1">
      <alignment horizontal="right" vertical="center" wrapText="1" indent="1" readingOrder="1"/>
    </xf>
    <xf numFmtId="0" fontId="55" fillId="97" borderId="269" xfId="0" applyFont="1" applyFill="1" applyBorder="1" applyAlignment="1">
      <alignment horizontal="left" vertical="center" wrapText="1" indent="1" readingOrder="1"/>
    </xf>
    <xf numFmtId="3" fontId="55" fillId="97" borderId="6" xfId="0" applyNumberFormat="1" applyFont="1" applyFill="1" applyBorder="1" applyAlignment="1">
      <alignment horizontal="right" vertical="center" wrapText="1" indent="1" readingOrder="1"/>
    </xf>
    <xf numFmtId="0" fontId="55" fillId="0" borderId="269" xfId="0" applyFont="1" applyBorder="1" applyAlignment="1">
      <alignment horizontal="left" vertical="center" wrapText="1" indent="1" readingOrder="1"/>
    </xf>
    <xf numFmtId="3" fontId="55" fillId="0" borderId="6" xfId="0" applyNumberFormat="1" applyFont="1" applyBorder="1" applyAlignment="1">
      <alignment horizontal="right" vertical="center" wrapText="1" indent="1" readingOrder="1"/>
    </xf>
    <xf numFmtId="3" fontId="55" fillId="3" borderId="6" xfId="0" applyNumberFormat="1" applyFont="1" applyFill="1" applyBorder="1" applyAlignment="1">
      <alignment horizontal="right" vertical="center" wrapText="1" indent="1" readingOrder="1"/>
    </xf>
    <xf numFmtId="0" fontId="79" fillId="95" borderId="256" xfId="0" applyFont="1" applyFill="1" applyBorder="1" applyAlignment="1">
      <alignment horizontal="left" vertical="center" wrapText="1" indent="1" readingOrder="1"/>
    </xf>
    <xf numFmtId="3" fontId="79" fillId="95" borderId="53" xfId="0" applyNumberFormat="1" applyFont="1" applyFill="1" applyBorder="1" applyAlignment="1">
      <alignment horizontal="right" vertical="center" wrapText="1" indent="1" readingOrder="1"/>
    </xf>
    <xf numFmtId="0" fontId="0" fillId="0" borderId="0" xfId="0" applyAlignment="1">
      <alignment horizontal="right"/>
    </xf>
    <xf numFmtId="3" fontId="110" fillId="0" borderId="0" xfId="0" applyNumberFormat="1" applyFont="1" applyAlignment="1"/>
    <xf numFmtId="3" fontId="10" fillId="0" borderId="0" xfId="0" applyNumberFormat="1" applyFont="1" applyAlignment="1">
      <alignment horizontal="center" vertical="center" wrapText="1"/>
    </xf>
    <xf numFmtId="0" fontId="79" fillId="98" borderId="536" xfId="0" applyFont="1" applyFill="1" applyBorder="1" applyAlignment="1">
      <alignment horizontal="center" vertical="center" wrapText="1"/>
    </xf>
    <xf numFmtId="3" fontId="136" fillId="98" borderId="275" xfId="0" applyNumberFormat="1" applyFont="1" applyFill="1" applyBorder="1" applyAlignment="1">
      <alignment horizontal="center" vertical="center"/>
    </xf>
    <xf numFmtId="169" fontId="136" fillId="98" borderId="259" xfId="1" applyNumberFormat="1" applyFont="1" applyFill="1" applyBorder="1" applyAlignment="1">
      <alignment horizontal="center" vertical="center"/>
    </xf>
    <xf numFmtId="169" fontId="136" fillId="98" borderId="283" xfId="1" applyNumberFormat="1" applyFont="1" applyFill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3" fontId="13" fillId="3" borderId="35" xfId="0" applyNumberFormat="1" applyFont="1" applyFill="1" applyBorder="1" applyAlignment="1">
      <alignment horizontal="center" vertical="center"/>
    </xf>
    <xf numFmtId="3" fontId="13" fillId="3" borderId="124" xfId="0" applyNumberFormat="1" applyFont="1" applyFill="1" applyBorder="1" applyAlignment="1">
      <alignment horizontal="center" vertical="center"/>
    </xf>
    <xf numFmtId="3" fontId="13" fillId="3" borderId="35" xfId="0" applyNumberFormat="1" applyFont="1" applyFill="1" applyBorder="1" applyAlignment="1">
      <alignment horizontal="right" vertical="center" indent="4"/>
    </xf>
    <xf numFmtId="169" fontId="13" fillId="3" borderId="35" xfId="1" applyNumberFormat="1" applyFont="1" applyFill="1" applyBorder="1" applyAlignment="1">
      <alignment horizontal="right" vertical="center" indent="4"/>
    </xf>
    <xf numFmtId="169" fontId="13" fillId="3" borderId="35" xfId="1" applyNumberFormat="1" applyFont="1" applyFill="1" applyBorder="1" applyAlignment="1">
      <alignment horizontal="center" vertical="center"/>
    </xf>
    <xf numFmtId="3" fontId="13" fillId="3" borderId="46" xfId="0" applyNumberFormat="1" applyFont="1" applyFill="1" applyBorder="1" applyAlignment="1">
      <alignment horizontal="right" vertical="center" indent="4"/>
    </xf>
    <xf numFmtId="0" fontId="67" fillId="0" borderId="47" xfId="0" applyFont="1" applyBorder="1"/>
    <xf numFmtId="0" fontId="1" fillId="0" borderId="47" xfId="0" applyFont="1" applyBorder="1"/>
    <xf numFmtId="3" fontId="156" fillId="0" borderId="0" xfId="0" applyNumberFormat="1" applyFont="1" applyBorder="1"/>
    <xf numFmtId="3" fontId="13" fillId="97" borderId="119" xfId="0" applyNumberFormat="1" applyFont="1" applyFill="1" applyBorder="1" applyAlignment="1">
      <alignment horizontal="right" vertical="center" indent="4"/>
    </xf>
    <xf numFmtId="3" fontId="57" fillId="3" borderId="72" xfId="0" applyNumberFormat="1" applyFont="1" applyFill="1" applyBorder="1" applyAlignment="1">
      <alignment horizontal="center" vertical="center"/>
    </xf>
    <xf numFmtId="3" fontId="57" fillId="3" borderId="74" xfId="0" applyNumberFormat="1" applyFont="1" applyFill="1" applyBorder="1" applyAlignment="1">
      <alignment horizontal="center" vertical="center"/>
    </xf>
    <xf numFmtId="3" fontId="57" fillId="3" borderId="44" xfId="0" applyNumberFormat="1" applyFont="1" applyFill="1" applyBorder="1" applyAlignment="1">
      <alignment horizontal="center" vertical="center"/>
    </xf>
    <xf numFmtId="0" fontId="16" fillId="0" borderId="127" xfId="0" applyFont="1" applyBorder="1" applyAlignment="1">
      <alignment wrapText="1"/>
    </xf>
    <xf numFmtId="0" fontId="139" fillId="119" borderId="0" xfId="0" applyFont="1" applyFill="1" applyAlignment="1">
      <alignment horizontal="left" vertical="center"/>
    </xf>
    <xf numFmtId="186" fontId="115" fillId="120" borderId="147" xfId="0" applyNumberFormat="1" applyFont="1" applyFill="1" applyBorder="1" applyAlignment="1">
      <alignment horizontal="right"/>
    </xf>
    <xf numFmtId="186" fontId="114" fillId="119" borderId="0" xfId="0" applyNumberFormat="1" applyFont="1" applyFill="1" applyAlignment="1"/>
    <xf numFmtId="186" fontId="115" fillId="120" borderId="152" xfId="0" applyNumberFormat="1" applyFont="1" applyFill="1" applyBorder="1" applyAlignment="1">
      <alignment horizontal="right"/>
    </xf>
    <xf numFmtId="184" fontId="140" fillId="119" borderId="0" xfId="0" applyNumberFormat="1" applyFont="1" applyFill="1"/>
    <xf numFmtId="0" fontId="140" fillId="94" borderId="0" xfId="0" applyFont="1" applyFill="1"/>
    <xf numFmtId="186" fontId="115" fillId="121" borderId="152" xfId="0" applyNumberFormat="1" applyFont="1" applyFill="1" applyBorder="1" applyAlignment="1">
      <alignment horizontal="right"/>
    </xf>
    <xf numFmtId="186" fontId="115" fillId="121" borderId="147" xfId="0" applyNumberFormat="1" applyFont="1" applyFill="1" applyBorder="1" applyAlignment="1">
      <alignment horizontal="right"/>
    </xf>
    <xf numFmtId="186" fontId="115" fillId="122" borderId="147" xfId="0" applyNumberFormat="1" applyFont="1" applyFill="1" applyBorder="1" applyAlignment="1">
      <alignment horizontal="right"/>
    </xf>
    <xf numFmtId="3" fontId="87" fillId="0" borderId="0" xfId="0" applyNumberFormat="1" applyFont="1" applyBorder="1" applyAlignment="1">
      <alignment horizontal="center" vertical="center"/>
    </xf>
    <xf numFmtId="0" fontId="105" fillId="97" borderId="73" xfId="0" applyNumberFormat="1" applyFont="1" applyFill="1" applyBorder="1" applyAlignment="1" applyProtection="1">
      <alignment horizontal="left" vertical="center" wrapText="1" indent="1"/>
    </xf>
    <xf numFmtId="3" fontId="105" fillId="97" borderId="32" xfId="0" applyNumberFormat="1" applyFont="1" applyFill="1" applyBorder="1" applyAlignment="1">
      <alignment horizontal="right" vertical="center" indent="1"/>
    </xf>
    <xf numFmtId="3" fontId="105" fillId="97" borderId="334" xfId="0" applyNumberFormat="1" applyFont="1" applyFill="1" applyBorder="1" applyAlignment="1">
      <alignment horizontal="right" vertical="center" indent="1"/>
    </xf>
    <xf numFmtId="0" fontId="142" fillId="106" borderId="292" xfId="0" applyFont="1" applyFill="1" applyBorder="1" applyAlignment="1">
      <alignment horizontal="left" vertical="center" indent="1"/>
    </xf>
    <xf numFmtId="3" fontId="142" fillId="106" borderId="292" xfId="0" applyNumberFormat="1" applyFont="1" applyFill="1" applyBorder="1" applyAlignment="1">
      <alignment horizontal="right" vertical="center" indent="2"/>
    </xf>
    <xf numFmtId="3" fontId="62" fillId="106" borderId="292" xfId="0" applyNumberFormat="1" applyFont="1" applyFill="1" applyBorder="1" applyAlignment="1">
      <alignment horizontal="right" vertical="center" indent="2"/>
    </xf>
    <xf numFmtId="0" fontId="142" fillId="106" borderId="331" xfId="0" applyFont="1" applyFill="1" applyBorder="1" applyAlignment="1">
      <alignment horizontal="left" vertical="center" indent="1"/>
    </xf>
    <xf numFmtId="3" fontId="62" fillId="106" borderId="32" xfId="0" applyNumberFormat="1" applyFont="1" applyFill="1" applyBorder="1" applyAlignment="1">
      <alignment horizontal="right" vertical="center" indent="2"/>
    </xf>
    <xf numFmtId="3" fontId="14" fillId="106" borderId="0" xfId="0" applyNumberFormat="1" applyFont="1" applyFill="1" applyBorder="1" applyAlignment="1">
      <alignment horizontal="center" vertical="center"/>
    </xf>
    <xf numFmtId="0" fontId="142" fillId="123" borderId="330" xfId="0" applyFont="1" applyFill="1" applyBorder="1" applyAlignment="1">
      <alignment horizontal="left" vertical="center" indent="1"/>
    </xf>
    <xf numFmtId="3" fontId="62" fillId="123" borderId="6" xfId="0" applyNumberFormat="1" applyFont="1" applyFill="1" applyBorder="1" applyAlignment="1">
      <alignment horizontal="right" vertical="center" indent="2"/>
    </xf>
    <xf numFmtId="0" fontId="70" fillId="123" borderId="0" xfId="0" applyFont="1" applyFill="1" applyAlignment="1"/>
    <xf numFmtId="0" fontId="142" fillId="106" borderId="363" xfId="0" applyFont="1" applyFill="1" applyBorder="1" applyAlignment="1">
      <alignment horizontal="left" vertical="center" indent="1"/>
    </xf>
    <xf numFmtId="3" fontId="62" fillId="106" borderId="364" xfId="0" applyNumberFormat="1" applyFont="1" applyFill="1" applyBorder="1" applyAlignment="1">
      <alignment horizontal="right" vertical="center" indent="2"/>
    </xf>
    <xf numFmtId="0" fontId="142" fillId="106" borderId="365" xfId="0" applyFont="1" applyFill="1" applyBorder="1" applyAlignment="1">
      <alignment horizontal="left" vertical="center" indent="1"/>
    </xf>
    <xf numFmtId="3" fontId="62" fillId="106" borderId="31" xfId="0" applyNumberFormat="1" applyFont="1" applyFill="1" applyBorder="1" applyAlignment="1">
      <alignment horizontal="right" vertical="center" indent="2"/>
    </xf>
    <xf numFmtId="0" fontId="14" fillId="123" borderId="0" xfId="0" applyFont="1" applyFill="1" applyAlignment="1"/>
    <xf numFmtId="0" fontId="14" fillId="106" borderId="0" xfId="0" applyFont="1" applyFill="1" applyAlignment="1"/>
    <xf numFmtId="0" fontId="70" fillId="0" borderId="449" xfId="0" applyFont="1" applyBorder="1" applyAlignment="1">
      <alignment horizontal="left" vertical="center" indent="1"/>
    </xf>
    <xf numFmtId="0" fontId="81" fillId="0" borderId="547" xfId="0" applyFont="1" applyBorder="1" applyAlignment="1"/>
    <xf numFmtId="0" fontId="142" fillId="106" borderId="360" xfId="0" applyFont="1" applyFill="1" applyBorder="1" applyAlignment="1">
      <alignment horizontal="left" vertical="center" indent="1"/>
    </xf>
    <xf numFmtId="3" fontId="62" fillId="106" borderId="361" xfId="0" applyNumberFormat="1" applyFont="1" applyFill="1" applyBorder="1" applyAlignment="1">
      <alignment horizontal="right" vertical="center" indent="2"/>
    </xf>
    <xf numFmtId="3" fontId="62" fillId="3" borderId="389" xfId="0" applyNumberFormat="1" applyFont="1" applyFill="1" applyBorder="1" applyAlignment="1">
      <alignment horizontal="right" vertical="center" indent="2"/>
    </xf>
    <xf numFmtId="3" fontId="20" fillId="97" borderId="549" xfId="147" applyNumberFormat="1" applyFont="1" applyFill="1" applyBorder="1" applyAlignment="1">
      <alignment horizontal="center" vertical="center" wrapText="1"/>
    </xf>
    <xf numFmtId="3" fontId="20" fillId="97" borderId="548" xfId="147" applyNumberFormat="1" applyFont="1" applyFill="1" applyBorder="1" applyAlignment="1">
      <alignment horizontal="center" vertical="center" wrapText="1"/>
    </xf>
    <xf numFmtId="3" fontId="57" fillId="3" borderId="32" xfId="0" applyNumberFormat="1" applyFont="1" applyFill="1" applyBorder="1" applyAlignment="1">
      <alignment horizontal="right" vertical="center" indent="2"/>
    </xf>
    <xf numFmtId="3" fontId="87" fillId="97" borderId="553" xfId="147" applyNumberFormat="1" applyFont="1" applyFill="1" applyBorder="1" applyAlignment="1">
      <alignment horizontal="right" vertical="center" wrapText="1" indent="2"/>
    </xf>
    <xf numFmtId="0" fontId="57" fillId="0" borderId="89" xfId="0" applyFont="1" applyBorder="1" applyAlignment="1">
      <alignment horizontal="left" vertical="center" indent="1"/>
    </xf>
    <xf numFmtId="3" fontId="57" fillId="0" borderId="89" xfId="0" applyNumberFormat="1" applyFont="1" applyBorder="1" applyAlignment="1">
      <alignment horizontal="right" vertical="center" indent="2"/>
    </xf>
    <xf numFmtId="3" fontId="57" fillId="3" borderId="89" xfId="0" applyNumberFormat="1" applyFont="1" applyFill="1" applyBorder="1" applyAlignment="1">
      <alignment horizontal="right" vertical="center" indent="2"/>
    </xf>
    <xf numFmtId="0" fontId="57" fillId="3" borderId="32" xfId="0" applyFont="1" applyFill="1" applyBorder="1" applyAlignment="1">
      <alignment horizontal="left" vertical="center" indent="1"/>
    </xf>
    <xf numFmtId="3" fontId="57" fillId="3" borderId="554" xfId="0" applyNumberFormat="1" applyFont="1" applyFill="1" applyBorder="1" applyAlignment="1">
      <alignment horizontal="center" vertical="center"/>
    </xf>
    <xf numFmtId="3" fontId="69" fillId="3" borderId="74" xfId="0" applyNumberFormat="1" applyFont="1" applyFill="1" applyBorder="1" applyAlignment="1">
      <alignment horizontal="center" vertical="center"/>
    </xf>
    <xf numFmtId="3" fontId="79" fillId="98" borderId="557" xfId="1616" applyNumberFormat="1" applyFont="1" applyFill="1" applyBorder="1" applyAlignment="1">
      <alignment horizontal="right" vertical="center" indent="2"/>
    </xf>
    <xf numFmtId="3" fontId="79" fillId="98" borderId="558" xfId="1616" applyNumberFormat="1" applyFont="1" applyFill="1" applyBorder="1" applyAlignment="1">
      <alignment horizontal="right" vertical="center" indent="2"/>
    </xf>
    <xf numFmtId="3" fontId="79" fillId="98" borderId="559" xfId="1616" applyNumberFormat="1" applyFont="1" applyFill="1" applyBorder="1" applyAlignment="1">
      <alignment horizontal="right" vertical="center" indent="2"/>
    </xf>
    <xf numFmtId="169" fontId="115" fillId="86" borderId="126" xfId="1" applyNumberFormat="1" applyFont="1" applyFill="1" applyBorder="1" applyAlignment="1">
      <alignment wrapText="1"/>
    </xf>
    <xf numFmtId="169" fontId="0" fillId="0" borderId="0" xfId="1" applyNumberFormat="1" applyFont="1" applyAlignment="1">
      <alignment wrapText="1"/>
    </xf>
    <xf numFmtId="169" fontId="16" fillId="0" borderId="0" xfId="1" applyNumberFormat="1" applyFont="1" applyAlignment="1">
      <alignment wrapText="1"/>
    </xf>
    <xf numFmtId="169" fontId="129" fillId="88" borderId="131" xfId="1" applyNumberFormat="1" applyFont="1" applyFill="1" applyBorder="1" applyAlignment="1">
      <alignment wrapText="1"/>
    </xf>
    <xf numFmtId="169" fontId="128" fillId="91" borderId="146" xfId="1" applyNumberFormat="1" applyFont="1" applyFill="1" applyBorder="1" applyAlignment="1">
      <alignment horizontal="center"/>
    </xf>
    <xf numFmtId="169" fontId="115" fillId="0" borderId="148" xfId="1" applyNumberFormat="1" applyFont="1" applyBorder="1" applyAlignment="1"/>
    <xf numFmtId="169" fontId="110" fillId="0" borderId="0" xfId="1" applyNumberFormat="1" applyFont="1" applyAlignment="1"/>
    <xf numFmtId="0" fontId="189" fillId="0" borderId="0" xfId="0" applyFont="1" applyAlignment="1"/>
    <xf numFmtId="0" fontId="92" fillId="0" borderId="0" xfId="0" applyFont="1" applyAlignment="1">
      <alignment horizontal="center" vertical="center"/>
    </xf>
    <xf numFmtId="0" fontId="109" fillId="4" borderId="518" xfId="0" applyFont="1" applyFill="1" applyBorder="1" applyAlignment="1">
      <alignment horizontal="center" vertical="center" wrapText="1" readingOrder="1"/>
    </xf>
    <xf numFmtId="0" fontId="109" fillId="4" borderId="519" xfId="0" applyFont="1" applyFill="1" applyBorder="1" applyAlignment="1">
      <alignment horizontal="center" vertical="center" wrapText="1" readingOrder="1"/>
    </xf>
    <xf numFmtId="49" fontId="136" fillId="4" borderId="518" xfId="0" applyNumberFormat="1" applyFont="1" applyFill="1" applyBorder="1" applyAlignment="1">
      <alignment horizontal="left" vertical="center" indent="1"/>
    </xf>
    <xf numFmtId="3" fontId="136" fillId="4" borderId="519" xfId="0" applyNumberFormat="1" applyFont="1" applyFill="1" applyBorder="1" applyAlignment="1">
      <alignment horizontal="right" vertical="center" indent="1"/>
    </xf>
    <xf numFmtId="0" fontId="109" fillId="4" borderId="560" xfId="0" applyFont="1" applyFill="1" applyBorder="1" applyAlignment="1">
      <alignment horizontal="center" vertical="center" wrapText="1" readingOrder="1"/>
    </xf>
    <xf numFmtId="0" fontId="109" fillId="4" borderId="561" xfId="0" applyFont="1" applyFill="1" applyBorder="1" applyAlignment="1">
      <alignment horizontal="center" vertical="center" wrapText="1" readingOrder="1"/>
    </xf>
    <xf numFmtId="3" fontId="136" fillId="4" borderId="561" xfId="0" applyNumberFormat="1" applyFont="1" applyFill="1" applyBorder="1" applyAlignment="1">
      <alignment horizontal="right" vertical="center" indent="1"/>
    </xf>
    <xf numFmtId="0" fontId="109" fillId="4" borderId="534" xfId="0" applyFont="1" applyFill="1" applyBorder="1" applyAlignment="1">
      <alignment horizontal="center" vertical="center" wrapText="1" readingOrder="1"/>
    </xf>
    <xf numFmtId="3" fontId="136" fillId="4" borderId="534" xfId="0" applyNumberFormat="1" applyFont="1" applyFill="1" applyBorder="1" applyAlignment="1">
      <alignment horizontal="right" vertical="center" indent="1"/>
    </xf>
    <xf numFmtId="0" fontId="57" fillId="3" borderId="6" xfId="0" applyFont="1" applyFill="1" applyBorder="1" applyAlignment="1">
      <alignment horizontal="left" vertical="center" indent="1"/>
    </xf>
    <xf numFmtId="0" fontId="57" fillId="0" borderId="88" xfId="0" applyFont="1" applyBorder="1" applyAlignment="1">
      <alignment horizontal="left" vertical="center" indent="1"/>
    </xf>
    <xf numFmtId="0" fontId="190" fillId="98" borderId="279" xfId="0" applyFont="1" applyFill="1" applyBorder="1" applyAlignment="1">
      <alignment horizontal="center" vertical="center"/>
    </xf>
    <xf numFmtId="0" fontId="190" fillId="98" borderId="280" xfId="0" applyFont="1" applyFill="1" applyBorder="1" applyAlignment="1">
      <alignment horizontal="center" vertical="center"/>
    </xf>
    <xf numFmtId="0" fontId="70" fillId="0" borderId="288" xfId="0" applyFont="1" applyBorder="1" applyAlignment="1">
      <alignment horizontal="center" vertical="center" wrapText="1"/>
    </xf>
    <xf numFmtId="0" fontId="70" fillId="0" borderId="289" xfId="0" applyFont="1" applyBorder="1" applyAlignment="1">
      <alignment horizontal="center" vertical="center"/>
    </xf>
    <xf numFmtId="0" fontId="70" fillId="99" borderId="291" xfId="0" applyFont="1" applyFill="1" applyBorder="1" applyAlignment="1">
      <alignment horizontal="center" vertical="center" wrapText="1"/>
    </xf>
    <xf numFmtId="0" fontId="70" fillId="99" borderId="292" xfId="0" applyFont="1" applyFill="1" applyBorder="1" applyAlignment="1">
      <alignment horizontal="center" vertical="center"/>
    </xf>
    <xf numFmtId="0" fontId="70" fillId="0" borderId="537" xfId="0" applyFont="1" applyBorder="1" applyAlignment="1">
      <alignment horizontal="center" vertical="center" wrapText="1"/>
    </xf>
    <xf numFmtId="0" fontId="70" fillId="0" borderId="446" xfId="0" applyFont="1" applyBorder="1" applyAlignment="1">
      <alignment horizontal="center" vertical="center"/>
    </xf>
    <xf numFmtId="0" fontId="90" fillId="0" borderId="0" xfId="0" applyFont="1" applyAlignment="1">
      <alignment vertical="center"/>
    </xf>
    <xf numFmtId="0" fontId="192" fillId="0" borderId="31" xfId="0" applyFont="1" applyBorder="1" applyAlignment="1">
      <alignment horizontal="left" vertical="center" wrapText="1" indent="1"/>
    </xf>
    <xf numFmtId="3" fontId="192" fillId="0" borderId="31" xfId="0" applyNumberFormat="1" applyFont="1" applyBorder="1" applyAlignment="1">
      <alignment horizontal="right" vertical="center" indent="2"/>
    </xf>
    <xf numFmtId="3" fontId="192" fillId="0" borderId="72" xfId="0" applyNumberFormat="1" applyFont="1" applyBorder="1" applyAlignment="1">
      <alignment horizontal="right" vertical="center" indent="2"/>
    </xf>
    <xf numFmtId="0" fontId="192" fillId="97" borderId="6" xfId="0" applyFont="1" applyFill="1" applyBorder="1" applyAlignment="1">
      <alignment horizontal="left" vertical="center" wrapText="1" indent="1"/>
    </xf>
    <xf numFmtId="3" fontId="193" fillId="97" borderId="6" xfId="0" applyNumberFormat="1" applyFont="1" applyFill="1" applyBorder="1" applyAlignment="1">
      <alignment horizontal="right" vertical="center" indent="2"/>
    </xf>
    <xf numFmtId="3" fontId="193" fillId="97" borderId="44" xfId="0" applyNumberFormat="1" applyFont="1" applyFill="1" applyBorder="1" applyAlignment="1">
      <alignment horizontal="right" vertical="center" indent="2"/>
    </xf>
    <xf numFmtId="0" fontId="192" fillId="0" borderId="32" xfId="0" applyFont="1" applyBorder="1" applyAlignment="1">
      <alignment horizontal="left" vertical="center" indent="1"/>
    </xf>
    <xf numFmtId="3" fontId="193" fillId="3" borderId="32" xfId="0" applyNumberFormat="1" applyFont="1" applyFill="1" applyBorder="1" applyAlignment="1">
      <alignment horizontal="right" vertical="center" indent="2"/>
    </xf>
    <xf numFmtId="3" fontId="193" fillId="3" borderId="74" xfId="0" applyNumberFormat="1" applyFont="1" applyFill="1" applyBorder="1" applyAlignment="1">
      <alignment horizontal="right" vertical="center" indent="2"/>
    </xf>
    <xf numFmtId="0" fontId="194" fillId="98" borderId="505" xfId="0" applyFont="1" applyFill="1" applyBorder="1" applyAlignment="1">
      <alignment horizontal="left" vertical="center" indent="1"/>
    </xf>
    <xf numFmtId="3" fontId="194" fillId="98" borderId="3" xfId="0" applyNumberFormat="1" applyFont="1" applyFill="1" applyBorder="1" applyAlignment="1">
      <alignment horizontal="right" vertical="center" indent="2"/>
    </xf>
    <xf numFmtId="3" fontId="194" fillId="98" borderId="85" xfId="0" applyNumberFormat="1" applyFont="1" applyFill="1" applyBorder="1" applyAlignment="1">
      <alignment horizontal="right" vertical="center" indent="2"/>
    </xf>
    <xf numFmtId="0" fontId="194" fillId="98" borderId="506" xfId="0" applyFont="1" applyFill="1" applyBorder="1" applyAlignment="1">
      <alignment horizontal="left" vertical="center" indent="1"/>
    </xf>
    <xf numFmtId="169" fontId="194" fillId="98" borderId="5" xfId="1" applyNumberFormat="1" applyFont="1" applyFill="1" applyBorder="1" applyAlignment="1">
      <alignment horizontal="right" vertical="center" indent="2"/>
    </xf>
    <xf numFmtId="169" fontId="194" fillId="98" borderId="83" xfId="1" applyNumberFormat="1" applyFont="1" applyFill="1" applyBorder="1" applyAlignment="1">
      <alignment horizontal="right" vertical="center" indent="2"/>
    </xf>
    <xf numFmtId="0" fontId="192" fillId="97" borderId="32" xfId="0" applyFont="1" applyFill="1" applyBorder="1" applyAlignment="1">
      <alignment horizontal="left" vertical="center" indent="1"/>
    </xf>
    <xf numFmtId="3" fontId="192" fillId="97" borderId="32" xfId="0" applyNumberFormat="1" applyFont="1" applyFill="1" applyBorder="1" applyAlignment="1">
      <alignment horizontal="right" vertical="center" indent="2"/>
    </xf>
    <xf numFmtId="3" fontId="192" fillId="97" borderId="74" xfId="0" applyNumberFormat="1" applyFont="1" applyFill="1" applyBorder="1" applyAlignment="1">
      <alignment horizontal="right" vertical="center" indent="2"/>
    </xf>
    <xf numFmtId="0" fontId="194" fillId="98" borderId="507" xfId="0" applyFont="1" applyFill="1" applyBorder="1" applyAlignment="1">
      <alignment horizontal="left" vertical="center" indent="1"/>
    </xf>
    <xf numFmtId="169" fontId="194" fillId="98" borderId="1" xfId="1" applyNumberFormat="1" applyFont="1" applyFill="1" applyBorder="1" applyAlignment="1">
      <alignment horizontal="right" vertical="center" indent="2"/>
    </xf>
    <xf numFmtId="169" fontId="194" fillId="98" borderId="86" xfId="1" applyNumberFormat="1" applyFont="1" applyFill="1" applyBorder="1" applyAlignment="1">
      <alignment horizontal="right" vertical="center" indent="2"/>
    </xf>
    <xf numFmtId="3" fontId="194" fillId="98" borderId="53" xfId="0" applyNumberFormat="1" applyFont="1" applyFill="1" applyBorder="1" applyAlignment="1">
      <alignment horizontal="right" vertical="center" indent="2"/>
    </xf>
    <xf numFmtId="3" fontId="194" fillId="98" borderId="1" xfId="0" applyNumberFormat="1" applyFont="1" applyFill="1" applyBorder="1" applyAlignment="1">
      <alignment horizontal="right" vertical="center" indent="2"/>
    </xf>
    <xf numFmtId="3" fontId="194" fillId="98" borderId="86" xfId="0" applyNumberFormat="1" applyFont="1" applyFill="1" applyBorder="1" applyAlignment="1">
      <alignment horizontal="right" vertical="center" indent="2"/>
    </xf>
    <xf numFmtId="169" fontId="194" fillId="98" borderId="34" xfId="1" applyNumberFormat="1" applyFont="1" applyFill="1" applyBorder="1" applyAlignment="1">
      <alignment horizontal="right" vertical="center" indent="2"/>
    </xf>
    <xf numFmtId="169" fontId="194" fillId="98" borderId="42" xfId="1" applyNumberFormat="1" applyFont="1" applyFill="1" applyBorder="1" applyAlignment="1">
      <alignment horizontal="right" vertical="center" indent="2"/>
    </xf>
    <xf numFmtId="0" fontId="15" fillId="100" borderId="566" xfId="0" applyFont="1" applyFill="1" applyBorder="1" applyAlignment="1">
      <alignment horizontal="center" vertical="center" wrapText="1"/>
    </xf>
    <xf numFmtId="0" fontId="109" fillId="100" borderId="566" xfId="0" applyFont="1" applyFill="1" applyBorder="1" applyAlignment="1">
      <alignment horizontal="right" vertical="center" wrapText="1" indent="3"/>
    </xf>
    <xf numFmtId="0" fontId="99" fillId="3" borderId="567" xfId="0" applyFont="1" applyFill="1" applyBorder="1" applyAlignment="1">
      <alignment horizontal="right" vertical="center" wrapText="1" indent="3"/>
    </xf>
    <xf numFmtId="0" fontId="99" fillId="97" borderId="64" xfId="0" applyFont="1" applyFill="1" applyBorder="1" applyAlignment="1">
      <alignment horizontal="right" vertical="center" wrapText="1" indent="3"/>
    </xf>
    <xf numFmtId="0" fontId="99" fillId="3" borderId="64" xfId="0" applyFont="1" applyFill="1" applyBorder="1" applyAlignment="1">
      <alignment horizontal="right" vertical="center" wrapText="1" indent="3"/>
    </xf>
    <xf numFmtId="0" fontId="99" fillId="3" borderId="569" xfId="0" applyFont="1" applyFill="1" applyBorder="1" applyAlignment="1">
      <alignment horizontal="right" vertical="center" wrapText="1" indent="3"/>
    </xf>
    <xf numFmtId="169" fontId="99" fillId="3" borderId="568" xfId="1" applyNumberFormat="1" applyFont="1" applyFill="1" applyBorder="1" applyAlignment="1">
      <alignment horizontal="right" vertical="center" wrapText="1" indent="3"/>
    </xf>
    <xf numFmtId="169" fontId="99" fillId="97" borderId="109" xfId="1" applyNumberFormat="1" applyFont="1" applyFill="1" applyBorder="1" applyAlignment="1">
      <alignment horizontal="right" vertical="center" wrapText="1" indent="3"/>
    </xf>
    <xf numFmtId="169" fontId="99" fillId="3" borderId="109" xfId="1" applyNumberFormat="1" applyFont="1" applyFill="1" applyBorder="1" applyAlignment="1">
      <alignment horizontal="right" vertical="center" wrapText="1" indent="3"/>
    </xf>
    <xf numFmtId="169" fontId="99" fillId="3" borderId="570" xfId="1" applyNumberFormat="1" applyFont="1" applyFill="1" applyBorder="1" applyAlignment="1">
      <alignment horizontal="right" vertical="center" wrapText="1" indent="3"/>
    </xf>
    <xf numFmtId="169" fontId="109" fillId="100" borderId="116" xfId="1" applyNumberFormat="1" applyFont="1" applyFill="1" applyBorder="1" applyAlignment="1">
      <alignment horizontal="right" vertical="center" wrapText="1" indent="3"/>
    </xf>
    <xf numFmtId="3" fontId="79" fillId="98" borderId="68" xfId="1616" applyNumberFormat="1" applyFont="1" applyFill="1" applyBorder="1" applyAlignment="1">
      <alignment horizontal="right" vertical="center" indent="3"/>
    </xf>
    <xf numFmtId="0" fontId="57" fillId="3" borderId="35" xfId="0" applyFont="1" applyFill="1" applyBorder="1" applyAlignment="1">
      <alignment horizontal="left" vertical="center" indent="1"/>
    </xf>
    <xf numFmtId="3" fontId="57" fillId="3" borderId="35" xfId="0" applyNumberFormat="1" applyFont="1" applyFill="1" applyBorder="1" applyAlignment="1">
      <alignment horizontal="right" vertical="center" indent="2"/>
    </xf>
    <xf numFmtId="43" fontId="14" fillId="97" borderId="552" xfId="147" applyFont="1" applyFill="1" applyBorder="1" applyAlignment="1">
      <alignment vertical="center"/>
    </xf>
    <xf numFmtId="43" fontId="14" fillId="97" borderId="553" xfId="147" applyFont="1" applyFill="1" applyBorder="1" applyAlignment="1">
      <alignment vertical="center"/>
    </xf>
    <xf numFmtId="0" fontId="57" fillId="97" borderId="6" xfId="0" applyFont="1" applyFill="1" applyBorder="1" applyAlignment="1">
      <alignment horizontal="left" vertical="center" indent="1"/>
    </xf>
    <xf numFmtId="3" fontId="57" fillId="97" borderId="6" xfId="0" applyNumberFormat="1" applyFont="1" applyFill="1" applyBorder="1" applyAlignment="1">
      <alignment horizontal="right" vertical="center" indent="2"/>
    </xf>
    <xf numFmtId="3" fontId="57" fillId="0" borderId="89" xfId="0" applyNumberFormat="1" applyFont="1" applyBorder="1" applyAlignment="1">
      <alignment horizontal="right" vertical="center" indent="3"/>
    </xf>
    <xf numFmtId="3" fontId="57" fillId="3" borderId="89" xfId="0" applyNumberFormat="1" applyFont="1" applyFill="1" applyBorder="1" applyAlignment="1">
      <alignment horizontal="right" vertical="center" indent="3"/>
    </xf>
    <xf numFmtId="3" fontId="57" fillId="3" borderId="554" xfId="0" applyNumberFormat="1" applyFont="1" applyFill="1" applyBorder="1" applyAlignment="1">
      <alignment horizontal="right" vertical="center" indent="3"/>
    </xf>
    <xf numFmtId="3" fontId="57" fillId="97" borderId="6" xfId="0" applyNumberFormat="1" applyFont="1" applyFill="1" applyBorder="1" applyAlignment="1">
      <alignment horizontal="right" vertical="center" indent="3"/>
    </xf>
    <xf numFmtId="3" fontId="57" fillId="97" borderId="44" xfId="0" applyNumberFormat="1" applyFont="1" applyFill="1" applyBorder="1" applyAlignment="1">
      <alignment horizontal="right" vertical="center" indent="3"/>
    </xf>
    <xf numFmtId="3" fontId="57" fillId="3" borderId="6" xfId="0" applyNumberFormat="1" applyFont="1" applyFill="1" applyBorder="1" applyAlignment="1">
      <alignment horizontal="right" vertical="center" indent="3"/>
    </xf>
    <xf numFmtId="3" fontId="57" fillId="3" borderId="44" xfId="0" applyNumberFormat="1" applyFont="1" applyFill="1" applyBorder="1" applyAlignment="1">
      <alignment horizontal="right" vertical="center" indent="3"/>
    </xf>
    <xf numFmtId="3" fontId="57" fillId="3" borderId="35" xfId="0" applyNumberFormat="1" applyFont="1" applyFill="1" applyBorder="1" applyAlignment="1">
      <alignment horizontal="right" vertical="center" indent="3"/>
    </xf>
    <xf numFmtId="3" fontId="57" fillId="3" borderId="46" xfId="0" applyNumberFormat="1" applyFont="1" applyFill="1" applyBorder="1" applyAlignment="1">
      <alignment horizontal="right" vertical="center" indent="3"/>
    </xf>
    <xf numFmtId="3" fontId="79" fillId="98" borderId="67" xfId="1616" applyNumberFormat="1" applyFont="1" applyFill="1" applyBorder="1" applyAlignment="1">
      <alignment horizontal="right" vertical="center" indent="3"/>
    </xf>
    <xf numFmtId="0" fontId="57" fillId="97" borderId="43" xfId="0" applyFont="1" applyFill="1" applyBorder="1" applyAlignment="1">
      <alignment horizontal="left" vertical="center" indent="1"/>
    </xf>
    <xf numFmtId="0" fontId="57" fillId="3" borderId="43" xfId="0" applyFont="1" applyFill="1" applyBorder="1" applyAlignment="1">
      <alignment horizontal="left" vertical="center" indent="1"/>
    </xf>
    <xf numFmtId="0" fontId="57" fillId="3" borderId="45" xfId="0" applyFont="1" applyFill="1" applyBorder="1" applyAlignment="1">
      <alignment horizontal="left" vertical="center" indent="1"/>
    </xf>
    <xf numFmtId="169" fontId="173" fillId="0" borderId="0" xfId="0" applyNumberFormat="1" applyFont="1" applyAlignment="1">
      <alignment horizontal="right" wrapText="1"/>
    </xf>
    <xf numFmtId="0" fontId="70" fillId="0" borderId="0" xfId="0" applyFont="1" applyAlignment="1">
      <alignment vertical="center"/>
    </xf>
    <xf numFmtId="169" fontId="70" fillId="0" borderId="0" xfId="1" applyNumberFormat="1" applyFont="1" applyAlignment="1">
      <alignment vertical="center"/>
    </xf>
    <xf numFmtId="3" fontId="109" fillId="124" borderId="571" xfId="0" applyNumberFormat="1" applyFont="1" applyFill="1" applyBorder="1" applyAlignment="1">
      <alignment horizontal="right" vertical="center" indent="2"/>
    </xf>
    <xf numFmtId="3" fontId="109" fillId="125" borderId="571" xfId="0" applyNumberFormat="1" applyFont="1" applyFill="1" applyBorder="1" applyAlignment="1">
      <alignment horizontal="right" vertical="center" indent="2"/>
    </xf>
    <xf numFmtId="0" fontId="1" fillId="0" borderId="575" xfId="0" applyFont="1" applyBorder="1" applyAlignment="1">
      <alignment horizontal="left" vertical="center" indent="1"/>
    </xf>
    <xf numFmtId="0" fontId="1" fillId="0" borderId="576" xfId="0" applyFont="1" applyBorder="1" applyAlignment="1">
      <alignment horizontal="right" vertical="center" indent="2"/>
    </xf>
    <xf numFmtId="0" fontId="73" fillId="127" borderId="576" xfId="0" applyFont="1" applyFill="1" applyBorder="1" applyAlignment="1">
      <alignment horizontal="right" vertical="center" indent="2"/>
    </xf>
    <xf numFmtId="0" fontId="1" fillId="0" borderId="577" xfId="0" applyFont="1" applyBorder="1" applyAlignment="1">
      <alignment horizontal="right" vertical="center" indent="2"/>
    </xf>
    <xf numFmtId="0" fontId="1" fillId="97" borderId="291" xfId="0" applyFont="1" applyFill="1" applyBorder="1" applyAlignment="1">
      <alignment horizontal="left" vertical="center" indent="1"/>
    </xf>
    <xf numFmtId="0" fontId="1" fillId="97" borderId="292" xfId="0" applyFont="1" applyFill="1" applyBorder="1" applyAlignment="1">
      <alignment horizontal="right" vertical="center" indent="2"/>
    </xf>
    <xf numFmtId="0" fontId="1" fillId="126" borderId="292" xfId="0" applyFont="1" applyFill="1" applyBorder="1" applyAlignment="1">
      <alignment horizontal="right" vertical="center" indent="2"/>
    </xf>
    <xf numFmtId="0" fontId="1" fillId="97" borderId="293" xfId="0" applyFont="1" applyFill="1" applyBorder="1" applyAlignment="1">
      <alignment horizontal="right" vertical="center" indent="2"/>
    </xf>
    <xf numFmtId="0" fontId="1" fillId="0" borderId="291" xfId="0" applyFont="1" applyBorder="1" applyAlignment="1">
      <alignment horizontal="left" vertical="center" indent="1"/>
    </xf>
    <xf numFmtId="0" fontId="1" fillId="0" borderId="292" xfId="0" applyFont="1" applyBorder="1" applyAlignment="1">
      <alignment horizontal="right" vertical="center" indent="2"/>
    </xf>
    <xf numFmtId="0" fontId="73" fillId="127" borderId="292" xfId="0" applyFont="1" applyFill="1" applyBorder="1" applyAlignment="1">
      <alignment horizontal="right" vertical="center" indent="2"/>
    </xf>
    <xf numFmtId="0" fontId="1" fillId="0" borderId="293" xfId="0" applyFont="1" applyBorder="1" applyAlignment="1">
      <alignment horizontal="right" vertical="center" indent="2"/>
    </xf>
    <xf numFmtId="0" fontId="1" fillId="0" borderId="578" xfId="0" applyFont="1" applyBorder="1" applyAlignment="1">
      <alignment horizontal="left" vertical="center" indent="1"/>
    </xf>
    <xf numFmtId="0" fontId="1" fillId="0" borderId="579" xfId="0" applyFont="1" applyBorder="1" applyAlignment="1">
      <alignment horizontal="right" vertical="center" indent="2"/>
    </xf>
    <xf numFmtId="0" fontId="73" fillId="127" borderId="579" xfId="0" applyFont="1" applyFill="1" applyBorder="1" applyAlignment="1">
      <alignment horizontal="right" vertical="center" indent="2"/>
    </xf>
    <xf numFmtId="0" fontId="1" fillId="0" borderId="580" xfId="0" applyFont="1" applyBorder="1" applyAlignment="1">
      <alignment horizontal="right" vertical="center" indent="2"/>
    </xf>
    <xf numFmtId="3" fontId="109" fillId="124" borderId="574" xfId="0" applyNumberFormat="1" applyFont="1" applyFill="1" applyBorder="1" applyAlignment="1">
      <alignment horizontal="left" vertical="center" indent="1"/>
    </xf>
    <xf numFmtId="3" fontId="109" fillId="124" borderId="581" xfId="0" applyNumberFormat="1" applyFont="1" applyFill="1" applyBorder="1" applyAlignment="1">
      <alignment horizontal="right" vertical="center" indent="2"/>
    </xf>
    <xf numFmtId="3" fontId="109" fillId="124" borderId="582" xfId="0" applyNumberFormat="1" applyFont="1" applyFill="1" applyBorder="1" applyAlignment="1">
      <alignment horizontal="right" vertical="center" indent="2"/>
    </xf>
    <xf numFmtId="169" fontId="109" fillId="124" borderId="1" xfId="1" applyNumberFormat="1" applyFont="1" applyFill="1" applyBorder="1" applyAlignment="1">
      <alignment horizontal="right" vertical="center" indent="2"/>
    </xf>
    <xf numFmtId="169" fontId="2" fillId="0" borderId="0" xfId="0" applyNumberFormat="1" applyFont="1" applyAlignment="1">
      <alignment horizontal="center" vertical="center"/>
    </xf>
    <xf numFmtId="3" fontId="136" fillId="98" borderId="296" xfId="0" applyNumberFormat="1" applyFont="1" applyFill="1" applyBorder="1" applyAlignment="1">
      <alignment horizontal="right" vertical="center" indent="1"/>
    </xf>
    <xf numFmtId="169" fontId="136" fillId="98" borderId="310" xfId="1" applyNumberFormat="1" applyFont="1" applyFill="1" applyBorder="1" applyAlignment="1">
      <alignment horizontal="right" vertical="center" indent="1"/>
    </xf>
    <xf numFmtId="3" fontId="136" fillId="98" borderId="586" xfId="0" applyNumberFormat="1" applyFont="1" applyFill="1" applyBorder="1" applyAlignment="1">
      <alignment horizontal="center" vertical="center"/>
    </xf>
    <xf numFmtId="3" fontId="136" fillId="98" borderId="587" xfId="0" applyNumberFormat="1" applyFont="1" applyFill="1" applyBorder="1" applyAlignment="1">
      <alignment horizontal="center" vertical="center"/>
    </xf>
    <xf numFmtId="3" fontId="136" fillId="98" borderId="588" xfId="0" applyNumberFormat="1" applyFont="1" applyFill="1" applyBorder="1" applyAlignment="1">
      <alignment horizontal="center" vertical="center"/>
    </xf>
    <xf numFmtId="169" fontId="136" fillId="98" borderId="589" xfId="1" applyNumberFormat="1" applyFont="1" applyFill="1" applyBorder="1" applyAlignment="1">
      <alignment horizontal="center" vertical="center"/>
    </xf>
    <xf numFmtId="169" fontId="136" fillId="98" borderId="590" xfId="1" applyNumberFormat="1" applyFont="1" applyFill="1" applyBorder="1" applyAlignment="1">
      <alignment horizontal="center" vertical="center"/>
    </xf>
    <xf numFmtId="169" fontId="136" fillId="98" borderId="591" xfId="1" applyNumberFormat="1" applyFont="1" applyFill="1" applyBorder="1" applyAlignment="1">
      <alignment horizontal="center" vertical="center"/>
    </xf>
    <xf numFmtId="3" fontId="136" fillId="98" borderId="295" xfId="0" applyNumberFormat="1" applyFont="1" applyFill="1" applyBorder="1" applyAlignment="1">
      <alignment horizontal="center" vertical="center"/>
    </xf>
    <xf numFmtId="3" fontId="136" fillId="98" borderId="296" xfId="0" applyNumberFormat="1" applyFont="1" applyFill="1" applyBorder="1" applyAlignment="1">
      <alignment horizontal="center" vertical="center"/>
    </xf>
    <xf numFmtId="3" fontId="136" fillId="98" borderId="584" xfId="0" applyNumberFormat="1" applyFont="1" applyFill="1" applyBorder="1" applyAlignment="1">
      <alignment horizontal="center" vertical="center"/>
    </xf>
    <xf numFmtId="169" fontId="136" fillId="98" borderId="309" xfId="1" applyNumberFormat="1" applyFont="1" applyFill="1" applyBorder="1" applyAlignment="1">
      <alignment horizontal="center" vertical="center"/>
    </xf>
    <xf numFmtId="169" fontId="136" fillId="98" borderId="310" xfId="1" applyNumberFormat="1" applyFont="1" applyFill="1" applyBorder="1" applyAlignment="1">
      <alignment horizontal="center" vertical="center"/>
    </xf>
    <xf numFmtId="169" fontId="136" fillId="98" borderId="585" xfId="1" applyNumberFormat="1" applyFont="1" applyFill="1" applyBorder="1" applyAlignment="1">
      <alignment horizontal="center" vertical="center"/>
    </xf>
    <xf numFmtId="0" fontId="109" fillId="98" borderId="216" xfId="0" applyFont="1" applyFill="1" applyBorder="1" applyAlignment="1">
      <alignment horizontal="center" vertical="center" wrapText="1"/>
    </xf>
    <xf numFmtId="0" fontId="64" fillId="0" borderId="180" xfId="0" applyFont="1" applyBorder="1" applyAlignment="1">
      <alignment horizontal="left" vertical="center" indent="2"/>
    </xf>
    <xf numFmtId="3" fontId="64" fillId="3" borderId="112" xfId="0" applyNumberFormat="1" applyFont="1" applyFill="1" applyBorder="1" applyAlignment="1">
      <alignment horizontal="right" vertical="center" indent="2"/>
    </xf>
    <xf numFmtId="169" fontId="64" fillId="3" borderId="112" xfId="1" applyNumberFormat="1" applyFont="1" applyFill="1" applyBorder="1" applyAlignment="1">
      <alignment horizontal="right" vertical="center" indent="2"/>
    </xf>
    <xf numFmtId="0" fontId="64" fillId="97" borderId="180" xfId="0" applyFont="1" applyFill="1" applyBorder="1" applyAlignment="1">
      <alignment horizontal="left" vertical="center" indent="2"/>
    </xf>
    <xf numFmtId="3" fontId="64" fillId="97" borderId="112" xfId="0" applyNumberFormat="1" applyFont="1" applyFill="1" applyBorder="1" applyAlignment="1">
      <alignment horizontal="right" vertical="center" indent="2"/>
    </xf>
    <xf numFmtId="169" fontId="64" fillId="97" borderId="112" xfId="1" applyNumberFormat="1" applyFont="1" applyFill="1" applyBorder="1" applyAlignment="1">
      <alignment horizontal="right" vertical="center" indent="2"/>
    </xf>
    <xf numFmtId="0" fontId="64" fillId="3" borderId="180" xfId="0" applyFont="1" applyFill="1" applyBorder="1" applyAlignment="1">
      <alignment horizontal="left" vertical="center" indent="2"/>
    </xf>
    <xf numFmtId="3" fontId="136" fillId="98" borderId="213" xfId="0" applyNumberFormat="1" applyFont="1" applyFill="1" applyBorder="1" applyAlignment="1">
      <alignment horizontal="left" vertical="center" indent="2"/>
    </xf>
    <xf numFmtId="3" fontId="136" fillId="98" borderId="213" xfId="0" applyNumberFormat="1" applyFont="1" applyFill="1" applyBorder="1" applyAlignment="1">
      <alignment horizontal="right" vertical="center" indent="2"/>
    </xf>
    <xf numFmtId="169" fontId="136" fillId="98" borderId="213" xfId="1" applyNumberFormat="1" applyFont="1" applyFill="1" applyBorder="1" applyAlignment="1">
      <alignment horizontal="right" vertical="center" indent="2"/>
    </xf>
    <xf numFmtId="1" fontId="109" fillId="98" borderId="295" xfId="0" applyNumberFormat="1" applyFont="1" applyFill="1" applyBorder="1" applyAlignment="1">
      <alignment horizontal="center" vertical="center" wrapText="1"/>
    </xf>
    <xf numFmtId="1" fontId="109" fillId="98" borderId="296" xfId="0" applyNumberFormat="1" applyFont="1" applyFill="1" applyBorder="1" applyAlignment="1">
      <alignment horizontal="center" vertical="center" wrapText="1"/>
    </xf>
    <xf numFmtId="1" fontId="109" fillId="98" borderId="584" xfId="0" applyNumberFormat="1" applyFont="1" applyFill="1" applyBorder="1" applyAlignment="1">
      <alignment horizontal="center" vertical="center" wrapText="1"/>
    </xf>
    <xf numFmtId="169" fontId="109" fillId="98" borderId="309" xfId="1" applyNumberFormat="1" applyFont="1" applyFill="1" applyBorder="1" applyAlignment="1">
      <alignment horizontal="center" vertical="center" wrapText="1"/>
    </xf>
    <xf numFmtId="169" fontId="109" fillId="98" borderId="310" xfId="1" applyNumberFormat="1" applyFont="1" applyFill="1" applyBorder="1" applyAlignment="1">
      <alignment horizontal="center" vertical="center" wrapText="1"/>
    </xf>
    <xf numFmtId="169" fontId="109" fillId="98" borderId="585" xfId="1" applyNumberFormat="1" applyFont="1" applyFill="1" applyBorder="1" applyAlignment="1">
      <alignment horizontal="center" vertical="center" wrapText="1"/>
    </xf>
    <xf numFmtId="3" fontId="149" fillId="100" borderId="295" xfId="0" applyNumberFormat="1" applyFont="1" applyFill="1" applyBorder="1" applyAlignment="1">
      <alignment horizontal="center" vertical="center"/>
    </xf>
    <xf numFmtId="3" fontId="149" fillId="100" borderId="296" xfId="0" applyNumberFormat="1" applyFont="1" applyFill="1" applyBorder="1" applyAlignment="1">
      <alignment horizontal="center" vertical="center"/>
    </xf>
    <xf numFmtId="3" fontId="149" fillId="100" borderId="584" xfId="0" applyNumberFormat="1" applyFont="1" applyFill="1" applyBorder="1" applyAlignment="1">
      <alignment horizontal="center" vertical="center"/>
    </xf>
    <xf numFmtId="169" fontId="149" fillId="100" borderId="309" xfId="1" applyNumberFormat="1" applyFont="1" applyFill="1" applyBorder="1" applyAlignment="1">
      <alignment horizontal="center" vertical="center"/>
    </xf>
    <xf numFmtId="169" fontId="149" fillId="100" borderId="310" xfId="1" applyNumberFormat="1" applyFont="1" applyFill="1" applyBorder="1" applyAlignment="1">
      <alignment horizontal="center" vertical="center"/>
    </xf>
    <xf numFmtId="169" fontId="149" fillId="100" borderId="585" xfId="1" applyNumberFormat="1" applyFont="1" applyFill="1" applyBorder="1" applyAlignment="1">
      <alignment horizontal="center" vertical="center"/>
    </xf>
    <xf numFmtId="3" fontId="136" fillId="98" borderId="467" xfId="0" applyNumberFormat="1" applyFont="1" applyFill="1" applyBorder="1" applyAlignment="1">
      <alignment horizontal="center" vertical="center"/>
    </xf>
    <xf numFmtId="169" fontId="136" fillId="98" borderId="48" xfId="1" applyNumberFormat="1" applyFont="1" applyFill="1" applyBorder="1" applyAlignment="1">
      <alignment horizontal="center" vertical="center"/>
    </xf>
    <xf numFmtId="3" fontId="136" fillId="98" borderId="113" xfId="0" applyNumberFormat="1" applyFont="1" applyFill="1" applyBorder="1" applyAlignment="1">
      <alignment horizontal="center" vertical="center"/>
    </xf>
    <xf numFmtId="169" fontId="136" fillId="98" borderId="592" xfId="0" applyNumberFormat="1" applyFont="1" applyFill="1" applyBorder="1" applyAlignment="1">
      <alignment horizontal="center" vertical="center"/>
    </xf>
    <xf numFmtId="169" fontId="136" fillId="98" borderId="231" xfId="1" applyNumberFormat="1" applyFont="1" applyFill="1" applyBorder="1" applyAlignment="1">
      <alignment horizontal="center" vertical="center"/>
    </xf>
    <xf numFmtId="169" fontId="136" fillId="98" borderId="48" xfId="0" applyNumberFormat="1" applyFont="1" applyFill="1" applyBorder="1" applyAlignment="1">
      <alignment horizontal="center" vertical="center"/>
    </xf>
    <xf numFmtId="0" fontId="62" fillId="0" borderId="0" xfId="0" applyFont="1"/>
    <xf numFmtId="3" fontId="105" fillId="94" borderId="593" xfId="0" applyNumberFormat="1" applyFont="1" applyFill="1" applyBorder="1" applyAlignment="1">
      <alignment horizontal="right" vertical="center" indent="1"/>
    </xf>
    <xf numFmtId="169" fontId="105" fillId="94" borderId="72" xfId="0" applyNumberFormat="1" applyFont="1" applyFill="1" applyBorder="1" applyAlignment="1">
      <alignment horizontal="right" vertical="center" indent="1"/>
    </xf>
    <xf numFmtId="3" fontId="105" fillId="97" borderId="594" xfId="0" applyNumberFormat="1" applyFont="1" applyFill="1" applyBorder="1" applyAlignment="1">
      <alignment horizontal="right" vertical="center" indent="1"/>
    </xf>
    <xf numFmtId="169" fontId="105" fillId="94" borderId="74" xfId="0" applyNumberFormat="1" applyFont="1" applyFill="1" applyBorder="1" applyAlignment="1">
      <alignment horizontal="right" vertical="center" indent="1"/>
    </xf>
    <xf numFmtId="3" fontId="105" fillId="108" borderId="6" xfId="0" applyNumberFormat="1" applyFont="1" applyFill="1" applyBorder="1" applyAlignment="1">
      <alignment horizontal="right" vertical="center" indent="1"/>
    </xf>
    <xf numFmtId="169" fontId="105" fillId="108" borderId="44" xfId="0" applyNumberFormat="1" applyFont="1" applyFill="1" applyBorder="1" applyAlignment="1">
      <alignment horizontal="right" vertical="center" indent="1"/>
    </xf>
    <xf numFmtId="3" fontId="105" fillId="108" borderId="32" xfId="0" applyNumberFormat="1" applyFont="1" applyFill="1" applyBorder="1" applyAlignment="1">
      <alignment horizontal="right" vertical="center" indent="1"/>
    </xf>
    <xf numFmtId="169" fontId="105" fillId="108" borderId="74" xfId="0" applyNumberFormat="1" applyFont="1" applyFill="1" applyBorder="1" applyAlignment="1">
      <alignment horizontal="right" vertical="center" indent="1"/>
    </xf>
    <xf numFmtId="3" fontId="105" fillId="3" borderId="463" xfId="0" applyNumberFormat="1" applyFont="1" applyFill="1" applyBorder="1" applyAlignment="1">
      <alignment horizontal="right" vertical="center" indent="1"/>
    </xf>
    <xf numFmtId="169" fontId="105" fillId="3" borderId="458" xfId="0" applyNumberFormat="1" applyFont="1" applyFill="1" applyBorder="1" applyAlignment="1">
      <alignment horizontal="right" vertical="center" indent="1"/>
    </xf>
    <xf numFmtId="3" fontId="105" fillId="94" borderId="546" xfId="0" applyNumberFormat="1" applyFont="1" applyFill="1" applyBorder="1" applyAlignment="1">
      <alignment horizontal="right" vertical="center" indent="1"/>
    </xf>
    <xf numFmtId="3" fontId="109" fillId="98" borderId="113" xfId="0" applyNumberFormat="1" applyFont="1" applyFill="1" applyBorder="1" applyAlignment="1">
      <alignment horizontal="center" vertical="center"/>
    </xf>
    <xf numFmtId="169" fontId="109" fillId="98" borderId="592" xfId="0" applyNumberFormat="1" applyFont="1" applyFill="1" applyBorder="1" applyAlignment="1">
      <alignment horizontal="center" vertical="center"/>
    </xf>
    <xf numFmtId="3" fontId="109" fillId="98" borderId="53" xfId="0" applyNumberFormat="1" applyFont="1" applyFill="1" applyBorder="1" applyAlignment="1">
      <alignment horizontal="center" vertical="center"/>
    </xf>
    <xf numFmtId="3" fontId="109" fillId="98" borderId="467" xfId="0" applyNumberFormat="1" applyFont="1" applyFill="1" applyBorder="1" applyAlignment="1">
      <alignment horizontal="center" vertical="center"/>
    </xf>
    <xf numFmtId="169" fontId="109" fillId="98" borderId="48" xfId="0" applyNumberFormat="1" applyFont="1" applyFill="1" applyBorder="1" applyAlignment="1">
      <alignment horizontal="center" vertical="center"/>
    </xf>
    <xf numFmtId="169" fontId="109" fillId="98" borderId="231" xfId="0" applyNumberFormat="1" applyFont="1" applyFill="1" applyBorder="1" applyAlignment="1">
      <alignment horizontal="center" vertical="center"/>
    </xf>
    <xf numFmtId="169" fontId="148" fillId="98" borderId="275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95" fillId="0" borderId="31" xfId="0" applyNumberFormat="1" applyFont="1" applyBorder="1" applyAlignment="1">
      <alignment horizontal="right" vertical="center" indent="3"/>
    </xf>
    <xf numFmtId="3" fontId="195" fillId="0" borderId="72" xfId="0" applyNumberFormat="1" applyFont="1" applyBorder="1" applyAlignment="1">
      <alignment horizontal="center" vertical="center"/>
    </xf>
    <xf numFmtId="169" fontId="86" fillId="0" borderId="0" xfId="1" applyNumberFormat="1" applyFont="1"/>
    <xf numFmtId="3" fontId="185" fillId="97" borderId="292" xfId="0" applyNumberFormat="1" applyFont="1" applyFill="1" applyBorder="1" applyAlignment="1">
      <alignment horizontal="right" vertical="center" wrapText="1" indent="1"/>
    </xf>
    <xf numFmtId="169" fontId="185" fillId="97" borderId="292" xfId="1" applyNumberFormat="1" applyFont="1" applyFill="1" applyBorder="1" applyAlignment="1">
      <alignment horizontal="right" vertical="center" wrapText="1" indent="1"/>
    </xf>
    <xf numFmtId="0" fontId="103" fillId="3" borderId="537" xfId="0" applyFont="1" applyFill="1" applyBorder="1" applyAlignment="1">
      <alignment horizontal="center" vertical="center"/>
    </xf>
    <xf numFmtId="3" fontId="185" fillId="3" borderId="446" xfId="0" applyNumberFormat="1" applyFont="1" applyFill="1" applyBorder="1" applyAlignment="1">
      <alignment horizontal="right" vertical="center" wrapText="1" indent="1"/>
    </xf>
    <xf numFmtId="169" fontId="185" fillId="3" borderId="446" xfId="1" applyNumberFormat="1" applyFont="1" applyFill="1" applyBorder="1" applyAlignment="1">
      <alignment horizontal="right" vertical="center" wrapText="1" indent="1"/>
    </xf>
    <xf numFmtId="3" fontId="103" fillId="3" borderId="446" xfId="0" applyNumberFormat="1" applyFont="1" applyFill="1" applyBorder="1" applyAlignment="1">
      <alignment horizontal="right" vertical="center" indent="1"/>
    </xf>
    <xf numFmtId="169" fontId="103" fillId="3" borderId="447" xfId="1" applyNumberFormat="1" applyFont="1" applyFill="1" applyBorder="1" applyAlignment="1">
      <alignment horizontal="right" vertical="center" indent="1"/>
    </xf>
    <xf numFmtId="0" fontId="15" fillId="98" borderId="250" xfId="0" applyFont="1" applyFill="1" applyBorder="1" applyAlignment="1">
      <alignment horizontal="center" vertical="center" wrapText="1"/>
    </xf>
    <xf numFmtId="3" fontId="148" fillId="98" borderId="248" xfId="0" applyNumberFormat="1" applyFont="1" applyFill="1" applyBorder="1" applyAlignment="1">
      <alignment horizontal="center" vertical="center"/>
    </xf>
    <xf numFmtId="169" fontId="148" fillId="98" borderId="262" xfId="1" applyNumberFormat="1" applyFont="1" applyFill="1" applyBorder="1" applyAlignment="1">
      <alignment horizontal="center" vertical="center"/>
    </xf>
    <xf numFmtId="3" fontId="17" fillId="0" borderId="0" xfId="0" applyNumberFormat="1" applyFont="1"/>
    <xf numFmtId="169" fontId="103" fillId="0" borderId="292" xfId="1" applyNumberFormat="1" applyFont="1" applyBorder="1" applyAlignment="1">
      <alignment horizontal="right" vertical="center" wrapText="1" indent="1"/>
    </xf>
    <xf numFmtId="0" fontId="197" fillId="98" borderId="542" xfId="0" applyFont="1" applyFill="1" applyBorder="1" applyAlignment="1">
      <alignment horizontal="center" vertical="center" wrapText="1"/>
    </xf>
    <xf numFmtId="0" fontId="197" fillId="98" borderId="442" xfId="0" applyFont="1" applyFill="1" applyBorder="1" applyAlignment="1">
      <alignment horizontal="center" vertical="center" wrapText="1"/>
    </xf>
    <xf numFmtId="0" fontId="70" fillId="0" borderId="0" xfId="0" applyFont="1" applyAlignment="1">
      <alignment wrapText="1"/>
    </xf>
    <xf numFmtId="0" fontId="94" fillId="0" borderId="288" xfId="0" applyFont="1" applyBorder="1" applyAlignment="1">
      <alignment horizontal="center" vertical="center"/>
    </xf>
    <xf numFmtId="0" fontId="94" fillId="0" borderId="289" xfId="0" applyFont="1" applyBorder="1" applyAlignment="1">
      <alignment horizontal="center" vertical="center" wrapText="1"/>
    </xf>
    <xf numFmtId="0" fontId="94" fillId="0" borderId="289" xfId="0" applyFont="1" applyBorder="1" applyAlignment="1">
      <alignment horizontal="center" vertical="center"/>
    </xf>
    <xf numFmtId="0" fontId="94" fillId="0" borderId="290" xfId="0" applyFont="1" applyBorder="1" applyAlignment="1">
      <alignment horizontal="center" vertical="center"/>
    </xf>
    <xf numFmtId="0" fontId="94" fillId="97" borderId="291" xfId="0" applyFont="1" applyFill="1" applyBorder="1" applyAlignment="1">
      <alignment horizontal="center" vertical="center"/>
    </xf>
    <xf numFmtId="0" fontId="94" fillId="97" borderId="292" xfId="0" applyFont="1" applyFill="1" applyBorder="1" applyAlignment="1">
      <alignment horizontal="center" vertical="center" wrapText="1"/>
    </xf>
    <xf numFmtId="0" fontId="94" fillId="97" borderId="292" xfId="0" applyFont="1" applyFill="1" applyBorder="1" applyAlignment="1">
      <alignment horizontal="center" vertical="center"/>
    </xf>
    <xf numFmtId="0" fontId="94" fillId="97" borderId="293" xfId="0" applyFont="1" applyFill="1" applyBorder="1" applyAlignment="1">
      <alignment horizontal="center" vertical="center"/>
    </xf>
    <xf numFmtId="0" fontId="94" fillId="0" borderId="595" xfId="0" applyFont="1" applyBorder="1" applyAlignment="1">
      <alignment horizontal="center" vertical="center"/>
    </xf>
    <xf numFmtId="0" fontId="94" fillId="0" borderId="294" xfId="0" applyFont="1" applyBorder="1" applyAlignment="1">
      <alignment horizontal="center" vertical="center" wrapText="1"/>
    </xf>
    <xf numFmtId="0" fontId="94" fillId="0" borderId="294" xfId="0" applyFont="1" applyBorder="1" applyAlignment="1">
      <alignment horizontal="center" vertical="center"/>
    </xf>
    <xf numFmtId="0" fontId="94" fillId="0" borderId="596" xfId="0" applyFont="1" applyBorder="1" applyAlignment="1">
      <alignment horizontal="center" vertical="center"/>
    </xf>
    <xf numFmtId="0" fontId="197" fillId="98" borderId="262" xfId="0" applyFont="1" applyFill="1" applyBorder="1" applyAlignment="1">
      <alignment horizontal="center" vertical="center"/>
    </xf>
    <xf numFmtId="0" fontId="197" fillId="98" borderId="260" xfId="0" applyFont="1" applyFill="1" applyBorder="1" applyAlignment="1">
      <alignment horizontal="center" vertical="center"/>
    </xf>
    <xf numFmtId="0" fontId="197" fillId="98" borderId="441" xfId="0" applyFont="1" applyFill="1" applyBorder="1" applyAlignment="1">
      <alignment horizontal="center" vertical="center" wrapText="1"/>
    </xf>
    <xf numFmtId="0" fontId="15" fillId="98" borderId="543" xfId="0" applyFont="1" applyFill="1" applyBorder="1" applyAlignment="1">
      <alignment horizontal="center" vertical="center"/>
    </xf>
    <xf numFmtId="0" fontId="15" fillId="98" borderId="310" xfId="0" applyFont="1" applyFill="1" applyBorder="1" applyAlignment="1">
      <alignment horizontal="center" vertical="center" wrapText="1"/>
    </xf>
    <xf numFmtId="0" fontId="15" fillId="98" borderId="536" xfId="0" applyFont="1" applyFill="1" applyBorder="1" applyAlignment="1">
      <alignment horizontal="center" vertical="center" wrapText="1"/>
    </xf>
    <xf numFmtId="0" fontId="57" fillId="3" borderId="288" xfId="0" applyFont="1" applyFill="1" applyBorder="1" applyAlignment="1">
      <alignment horizontal="left" vertical="center" indent="1"/>
    </xf>
    <xf numFmtId="3" fontId="13" fillId="0" borderId="289" xfId="0" applyNumberFormat="1" applyFont="1" applyBorder="1" applyAlignment="1">
      <alignment horizontal="right" vertical="center" indent="4"/>
    </xf>
    <xf numFmtId="3" fontId="55" fillId="0" borderId="289" xfId="0" applyNumberFormat="1" applyFont="1" applyBorder="1" applyAlignment="1">
      <alignment horizontal="right" vertical="center" indent="4"/>
    </xf>
    <xf numFmtId="3" fontId="55" fillId="0" borderId="290" xfId="0" applyNumberFormat="1" applyFont="1" applyBorder="1" applyAlignment="1">
      <alignment horizontal="right" vertical="center" indent="4"/>
    </xf>
    <xf numFmtId="0" fontId="57" fillId="97" borderId="291" xfId="0" applyFont="1" applyFill="1" applyBorder="1" applyAlignment="1">
      <alignment horizontal="left" vertical="center" indent="1"/>
    </xf>
    <xf numFmtId="3" fontId="13" fillId="97" borderId="292" xfId="0" applyNumberFormat="1" applyFont="1" applyFill="1" applyBorder="1" applyAlignment="1">
      <alignment horizontal="right" vertical="center" indent="4"/>
    </xf>
    <xf numFmtId="3" fontId="55" fillId="97" borderId="292" xfId="0" applyNumberFormat="1" applyFont="1" applyFill="1" applyBorder="1" applyAlignment="1">
      <alignment horizontal="right" vertical="center" indent="4"/>
    </xf>
    <xf numFmtId="3" fontId="55" fillId="97" borderId="293" xfId="0" applyNumberFormat="1" applyFont="1" applyFill="1" applyBorder="1" applyAlignment="1">
      <alignment horizontal="right" vertical="center" indent="4"/>
    </xf>
    <xf numFmtId="0" fontId="57" fillId="3" borderId="291" xfId="0" applyFont="1" applyFill="1" applyBorder="1" applyAlignment="1">
      <alignment horizontal="left" vertical="center" indent="1"/>
    </xf>
    <xf numFmtId="3" fontId="13" fillId="0" borderId="292" xfId="0" applyNumberFormat="1" applyFont="1" applyBorder="1" applyAlignment="1">
      <alignment horizontal="right" vertical="center" indent="4"/>
    </xf>
    <xf numFmtId="3" fontId="55" fillId="0" borderId="292" xfId="0" applyNumberFormat="1" applyFont="1" applyBorder="1" applyAlignment="1">
      <alignment horizontal="right" vertical="center" indent="4"/>
    </xf>
    <xf numFmtId="3" fontId="55" fillId="0" borderId="293" xfId="0" applyNumberFormat="1" applyFont="1" applyBorder="1" applyAlignment="1">
      <alignment horizontal="right" vertical="center" indent="4"/>
    </xf>
    <xf numFmtId="0" fontId="57" fillId="97" borderId="595" xfId="0" applyFont="1" applyFill="1" applyBorder="1" applyAlignment="1">
      <alignment horizontal="left" vertical="center" indent="1"/>
    </xf>
    <xf numFmtId="3" fontId="13" fillId="97" borderId="294" xfId="0" applyNumberFormat="1" applyFont="1" applyFill="1" applyBorder="1" applyAlignment="1">
      <alignment horizontal="right" vertical="center" indent="4"/>
    </xf>
    <xf numFmtId="3" fontId="55" fillId="97" borderId="294" xfId="0" applyNumberFormat="1" applyFont="1" applyFill="1" applyBorder="1" applyAlignment="1">
      <alignment horizontal="right" vertical="center" indent="4"/>
    </xf>
    <xf numFmtId="3" fontId="55" fillId="97" borderId="596" xfId="0" applyNumberFormat="1" applyFont="1" applyFill="1" applyBorder="1" applyAlignment="1">
      <alignment horizontal="right" vertical="center" indent="4"/>
    </xf>
    <xf numFmtId="0" fontId="79" fillId="98" borderId="543" xfId="0" applyFont="1" applyFill="1" applyBorder="1" applyAlignment="1">
      <alignment horizontal="left" vertical="center" indent="1"/>
    </xf>
    <xf numFmtId="3" fontId="79" fillId="98" borderId="262" xfId="0" applyNumberFormat="1" applyFont="1" applyFill="1" applyBorder="1" applyAlignment="1">
      <alignment horizontal="right" vertical="center" indent="4"/>
    </xf>
    <xf numFmtId="3" fontId="79" fillId="98" borderId="260" xfId="0" applyNumberFormat="1" applyFont="1" applyFill="1" applyBorder="1" applyAlignment="1">
      <alignment horizontal="right" vertical="center" indent="4"/>
    </xf>
    <xf numFmtId="3" fontId="145" fillId="0" borderId="292" xfId="0" applyNumberFormat="1" applyFont="1" applyBorder="1" applyAlignment="1">
      <alignment horizontal="center" vertical="center" wrapText="1"/>
    </xf>
    <xf numFmtId="3" fontId="145" fillId="97" borderId="292" xfId="0" applyNumberFormat="1" applyFont="1" applyFill="1" applyBorder="1" applyAlignment="1">
      <alignment horizontal="center" vertical="center" wrapText="1"/>
    </xf>
    <xf numFmtId="3" fontId="196" fillId="128" borderId="261" xfId="0" applyNumberFormat="1" applyFont="1" applyFill="1" applyBorder="1" applyAlignment="1">
      <alignment horizontal="center" vertical="center" wrapText="1"/>
    </xf>
    <xf numFmtId="0" fontId="145" fillId="0" borderId="291" xfId="0" applyFont="1" applyBorder="1" applyAlignment="1">
      <alignment horizontal="left" vertical="center" wrapText="1" indent="1"/>
    </xf>
    <xf numFmtId="0" fontId="145" fillId="97" borderId="291" xfId="0" applyFont="1" applyFill="1" applyBorder="1" applyAlignment="1">
      <alignment horizontal="left" vertical="center" wrapText="1" indent="1"/>
    </xf>
    <xf numFmtId="0" fontId="196" fillId="128" borderId="274" xfId="0" applyFont="1" applyFill="1" applyBorder="1" applyAlignment="1">
      <alignment horizontal="left" vertical="center" wrapText="1" indent="1"/>
    </xf>
    <xf numFmtId="0" fontId="196" fillId="128" borderId="279" xfId="0" applyFont="1" applyFill="1" applyBorder="1" applyAlignment="1">
      <alignment horizontal="center" vertical="center" wrapText="1"/>
    </xf>
    <xf numFmtId="0" fontId="196" fillId="128" borderId="280" xfId="0" applyNumberFormat="1" applyFont="1" applyFill="1" applyBorder="1" applyAlignment="1">
      <alignment horizontal="center" vertical="center" wrapText="1"/>
    </xf>
    <xf numFmtId="0" fontId="196" fillId="128" borderId="281" xfId="0" applyNumberFormat="1" applyFont="1" applyFill="1" applyBorder="1" applyAlignment="1">
      <alignment horizontal="center" vertical="center" wrapText="1"/>
    </xf>
    <xf numFmtId="169" fontId="145" fillId="0" borderId="293" xfId="1" applyNumberFormat="1" applyFont="1" applyBorder="1" applyAlignment="1">
      <alignment horizontal="center" vertical="center" wrapText="1"/>
    </xf>
    <xf numFmtId="169" fontId="145" fillId="97" borderId="293" xfId="1" applyNumberFormat="1" applyFont="1" applyFill="1" applyBorder="1" applyAlignment="1">
      <alignment horizontal="center" vertical="center" wrapText="1"/>
    </xf>
    <xf numFmtId="169" fontId="196" fillId="128" borderId="583" xfId="1" applyNumberFormat="1" applyFont="1" applyFill="1" applyBorder="1" applyAlignment="1">
      <alignment horizontal="center" vertical="center" wrapText="1"/>
    </xf>
    <xf numFmtId="3" fontId="145" fillId="0" borderId="292" xfId="1" applyNumberFormat="1" applyFont="1" applyBorder="1" applyAlignment="1">
      <alignment horizontal="right" vertical="center" wrapText="1" indent="3"/>
    </xf>
    <xf numFmtId="3" fontId="145" fillId="97" borderId="292" xfId="1" applyNumberFormat="1" applyFont="1" applyFill="1" applyBorder="1" applyAlignment="1">
      <alignment horizontal="right" vertical="center" wrapText="1" indent="3"/>
    </xf>
    <xf numFmtId="169" fontId="145" fillId="0" borderId="291" xfId="1" applyNumberFormat="1" applyFont="1" applyBorder="1" applyAlignment="1">
      <alignment horizontal="left" vertical="center" wrapText="1" indent="1"/>
    </xf>
    <xf numFmtId="169" fontId="145" fillId="97" borderId="291" xfId="1" applyNumberFormat="1" applyFont="1" applyFill="1" applyBorder="1" applyAlignment="1">
      <alignment horizontal="left" vertical="center" wrapText="1" indent="1"/>
    </xf>
    <xf numFmtId="3" fontId="196" fillId="128" borderId="261" xfId="0" applyNumberFormat="1" applyFont="1" applyFill="1" applyBorder="1" applyAlignment="1">
      <alignment horizontal="right" vertical="center" wrapText="1" indent="3"/>
    </xf>
    <xf numFmtId="169" fontId="196" fillId="128" borderId="583" xfId="1" applyNumberFormat="1" applyFont="1" applyFill="1" applyBorder="1" applyAlignment="1">
      <alignment horizontal="right" vertical="center" wrapText="1" indent="3"/>
    </xf>
    <xf numFmtId="169" fontId="145" fillId="97" borderId="293" xfId="1" applyNumberFormat="1" applyFont="1" applyFill="1" applyBorder="1" applyAlignment="1">
      <alignment horizontal="right" vertical="center" wrapText="1" indent="3"/>
    </xf>
    <xf numFmtId="169" fontId="145" fillId="0" borderId="293" xfId="1" applyNumberFormat="1" applyFont="1" applyBorder="1" applyAlignment="1">
      <alignment horizontal="right" vertical="center" wrapText="1" indent="3"/>
    </xf>
    <xf numFmtId="169" fontId="1" fillId="0" borderId="293" xfId="1" applyNumberFormat="1" applyFont="1" applyBorder="1" applyAlignment="1">
      <alignment horizontal="right" vertical="center" wrapText="1" indent="3"/>
    </xf>
    <xf numFmtId="169" fontId="136" fillId="98" borderId="228" xfId="1" applyNumberFormat="1" applyFont="1" applyFill="1" applyBorder="1" applyAlignment="1">
      <alignment horizontal="center" vertical="center"/>
    </xf>
    <xf numFmtId="0" fontId="112" fillId="100" borderId="163" xfId="0" applyFont="1" applyFill="1" applyBorder="1" applyAlignment="1">
      <alignment horizontal="center" vertical="center" wrapText="1"/>
    </xf>
    <xf numFmtId="169" fontId="148" fillId="100" borderId="216" xfId="1" applyNumberFormat="1" applyFont="1" applyFill="1" applyBorder="1" applyAlignment="1">
      <alignment horizontal="center" vertical="center"/>
    </xf>
    <xf numFmtId="169" fontId="148" fillId="98" borderId="259" xfId="1" applyNumberFormat="1" applyFont="1" applyFill="1" applyBorder="1" applyAlignment="1">
      <alignment horizontal="center" vertical="center"/>
    </xf>
    <xf numFmtId="0" fontId="145" fillId="0" borderId="289" xfId="0" applyFont="1" applyBorder="1" applyAlignment="1">
      <alignment horizontal="center" vertical="center" wrapText="1"/>
    </xf>
    <xf numFmtId="0" fontId="145" fillId="0" borderId="294" xfId="0" applyFont="1" applyBorder="1" applyAlignment="1">
      <alignment horizontal="center" vertical="center" wrapText="1"/>
    </xf>
    <xf numFmtId="0" fontId="145" fillId="97" borderId="292" xfId="0" applyFont="1" applyFill="1" applyBorder="1" applyAlignment="1">
      <alignment horizontal="center" vertical="center" wrapText="1"/>
    </xf>
    <xf numFmtId="0" fontId="145" fillId="3" borderId="289" xfId="0" applyFont="1" applyFill="1" applyBorder="1" applyAlignment="1">
      <alignment horizontal="center" vertical="center" wrapText="1"/>
    </xf>
    <xf numFmtId="0" fontId="145" fillId="3" borderId="294" xfId="0" applyFont="1" applyFill="1" applyBorder="1" applyAlignment="1">
      <alignment horizontal="center" vertical="center" wrapText="1"/>
    </xf>
    <xf numFmtId="0" fontId="196" fillId="128" borderId="310" xfId="0" applyFont="1" applyFill="1" applyBorder="1" applyAlignment="1">
      <alignment horizontal="center" vertical="center" wrapText="1"/>
    </xf>
    <xf numFmtId="0" fontId="196" fillId="128" borderId="296" xfId="0" applyFont="1" applyFill="1" applyBorder="1" applyAlignment="1">
      <alignment horizontal="center" vertical="center" wrapText="1"/>
    </xf>
    <xf numFmtId="0" fontId="196" fillId="128" borderId="536" xfId="0" applyFont="1" applyFill="1" applyBorder="1" applyAlignment="1">
      <alignment horizontal="center" vertical="center" wrapText="1"/>
    </xf>
    <xf numFmtId="0" fontId="145" fillId="0" borderId="288" xfId="0" applyFont="1" applyBorder="1" applyAlignment="1">
      <alignment horizontal="left" vertical="center" wrapText="1" indent="1"/>
    </xf>
    <xf numFmtId="0" fontId="145" fillId="0" borderId="290" xfId="0" applyFont="1" applyBorder="1" applyAlignment="1">
      <alignment horizontal="center" vertical="center" wrapText="1"/>
    </xf>
    <xf numFmtId="0" fontId="145" fillId="97" borderId="293" xfId="0" applyFont="1" applyFill="1" applyBorder="1" applyAlignment="1">
      <alignment horizontal="center" vertical="center" wrapText="1"/>
    </xf>
    <xf numFmtId="0" fontId="145" fillId="0" borderId="595" xfId="0" applyFont="1" applyBorder="1" applyAlignment="1">
      <alignment horizontal="left" vertical="center" wrapText="1" indent="1"/>
    </xf>
    <xf numFmtId="0" fontId="145" fillId="0" borderId="596" xfId="0" applyFont="1" applyBorder="1" applyAlignment="1">
      <alignment horizontal="center" vertical="center" wrapText="1"/>
    </xf>
    <xf numFmtId="0" fontId="196" fillId="128" borderId="313" xfId="0" applyFont="1" applyFill="1" applyBorder="1" applyAlignment="1">
      <alignment horizontal="left" vertical="center" wrapText="1" indent="1"/>
    </xf>
    <xf numFmtId="0" fontId="196" fillId="128" borderId="317" xfId="0" applyFont="1" applyFill="1" applyBorder="1" applyAlignment="1">
      <alignment horizontal="center" vertical="center" wrapText="1"/>
    </xf>
    <xf numFmtId="0" fontId="196" fillId="128" borderId="258" xfId="0" applyFont="1" applyFill="1" applyBorder="1" applyAlignment="1">
      <alignment horizontal="left" vertical="center" wrapText="1" indent="1"/>
    </xf>
    <xf numFmtId="0" fontId="145" fillId="0" borderId="293" xfId="0" applyFont="1" applyBorder="1" applyAlignment="1">
      <alignment horizontal="right" vertical="center" wrapText="1" indent="3"/>
    </xf>
    <xf numFmtId="0" fontId="145" fillId="97" borderId="293" xfId="0" applyFont="1" applyFill="1" applyBorder="1" applyAlignment="1">
      <alignment horizontal="right" vertical="center" wrapText="1" indent="3"/>
    </xf>
    <xf numFmtId="0" fontId="196" fillId="128" borderId="583" xfId="0" applyFont="1" applyFill="1" applyBorder="1" applyAlignment="1">
      <alignment horizontal="right" vertical="center" wrapText="1" indent="3"/>
    </xf>
    <xf numFmtId="0" fontId="196" fillId="128" borderId="281" xfId="0" applyFont="1" applyFill="1" applyBorder="1" applyAlignment="1">
      <alignment horizontal="center" vertical="center" wrapText="1"/>
    </xf>
    <xf numFmtId="0" fontId="145" fillId="2" borderId="291" xfId="0" applyFont="1" applyFill="1" applyBorder="1" applyAlignment="1">
      <alignment horizontal="left" vertical="center" wrapText="1" indent="1"/>
    </xf>
    <xf numFmtId="3" fontId="145" fillId="2" borderId="292" xfId="0" applyNumberFormat="1" applyFont="1" applyFill="1" applyBorder="1" applyAlignment="1">
      <alignment horizontal="right" vertical="center" wrapText="1" indent="3"/>
    </xf>
    <xf numFmtId="3" fontId="145" fillId="2" borderId="293" xfId="0" applyNumberFormat="1" applyFont="1" applyFill="1" applyBorder="1" applyAlignment="1">
      <alignment horizontal="right" vertical="center" wrapText="1" indent="3"/>
    </xf>
    <xf numFmtId="0" fontId="145" fillId="2" borderId="292" xfId="0" applyFont="1" applyFill="1" applyBorder="1" applyAlignment="1">
      <alignment horizontal="right" vertical="center" wrapText="1" indent="3"/>
    </xf>
    <xf numFmtId="3" fontId="145" fillId="97" borderId="292" xfId="0" applyNumberFormat="1" applyFont="1" applyFill="1" applyBorder="1" applyAlignment="1">
      <alignment horizontal="right" vertical="center" wrapText="1" indent="3"/>
    </xf>
    <xf numFmtId="0" fontId="145" fillId="97" borderId="292" xfId="0" applyFont="1" applyFill="1" applyBorder="1" applyAlignment="1">
      <alignment horizontal="right" vertical="center" wrapText="1" indent="3"/>
    </xf>
    <xf numFmtId="3" fontId="145" fillId="97" borderId="293" xfId="0" applyNumberFormat="1" applyFont="1" applyFill="1" applyBorder="1" applyAlignment="1">
      <alignment horizontal="right" vertical="center" wrapText="1" indent="3"/>
    </xf>
    <xf numFmtId="0" fontId="196" fillId="128" borderId="280" xfId="0" applyFont="1" applyFill="1" applyBorder="1" applyAlignment="1">
      <alignment horizontal="center" vertical="center" wrapText="1"/>
    </xf>
    <xf numFmtId="3" fontId="196" fillId="128" borderId="583" xfId="0" applyNumberFormat="1" applyFont="1" applyFill="1" applyBorder="1" applyAlignment="1">
      <alignment horizontal="right" vertical="center" wrapText="1" indent="3"/>
    </xf>
    <xf numFmtId="0" fontId="109" fillId="98" borderId="604" xfId="0" applyFont="1" applyFill="1" applyBorder="1" applyAlignment="1">
      <alignment horizontal="center" vertical="center"/>
    </xf>
    <xf numFmtId="0" fontId="109" fillId="98" borderId="605" xfId="0" applyFont="1" applyFill="1" applyBorder="1" applyAlignment="1">
      <alignment horizontal="center" vertical="center" wrapText="1"/>
    </xf>
    <xf numFmtId="0" fontId="109" fillId="98" borderId="606" xfId="0" applyFont="1" applyFill="1" applyBorder="1" applyAlignment="1">
      <alignment horizontal="center" vertical="center" wrapText="1"/>
    </xf>
    <xf numFmtId="0" fontId="73" fillId="3" borderId="608" xfId="0" applyFont="1" applyFill="1" applyBorder="1" applyAlignment="1">
      <alignment horizontal="center" vertical="center"/>
    </xf>
    <xf numFmtId="3" fontId="73" fillId="3" borderId="289" xfId="0" applyNumberFormat="1" applyFont="1" applyFill="1" applyBorder="1" applyAlignment="1">
      <alignment horizontal="center" vertical="center" wrapText="1"/>
    </xf>
    <xf numFmtId="3" fontId="73" fillId="3" borderId="289" xfId="0" applyNumberFormat="1" applyFont="1" applyFill="1" applyBorder="1" applyAlignment="1">
      <alignment horizontal="center" vertical="center"/>
    </xf>
    <xf numFmtId="0" fontId="73" fillId="97" borderId="607" xfId="0" applyFont="1" applyFill="1" applyBorder="1" applyAlignment="1">
      <alignment horizontal="center" vertical="center"/>
    </xf>
    <xf numFmtId="3" fontId="73" fillId="97" borderId="609" xfId="0" applyNumberFormat="1" applyFont="1" applyFill="1" applyBorder="1" applyAlignment="1">
      <alignment horizontal="center" vertical="center" wrapText="1"/>
    </xf>
    <xf numFmtId="3" fontId="73" fillId="97" borderId="609" xfId="0" applyNumberFormat="1" applyFont="1" applyFill="1" applyBorder="1" applyAlignment="1">
      <alignment horizontal="center" vertical="center"/>
    </xf>
    <xf numFmtId="3" fontId="64" fillId="0" borderId="160" xfId="0" applyNumberFormat="1" applyFont="1" applyBorder="1" applyAlignment="1">
      <alignment horizontal="center" vertical="center"/>
    </xf>
    <xf numFmtId="3" fontId="136" fillId="98" borderId="221" xfId="0" applyNumberFormat="1" applyFont="1" applyFill="1" applyBorder="1" applyAlignment="1">
      <alignment horizontal="center" vertical="center"/>
    </xf>
    <xf numFmtId="169" fontId="136" fillId="98" borderId="216" xfId="1" applyNumberFormat="1" applyFont="1" applyFill="1" applyBorder="1" applyAlignment="1">
      <alignment horizontal="center" vertical="center"/>
    </xf>
    <xf numFmtId="10" fontId="136" fillId="98" borderId="217" xfId="1" applyNumberFormat="1" applyFont="1" applyFill="1" applyBorder="1" applyAlignment="1">
      <alignment horizontal="center" vertical="center"/>
    </xf>
    <xf numFmtId="3" fontId="64" fillId="0" borderId="31" xfId="0" applyNumberFormat="1" applyFont="1" applyBorder="1" applyAlignment="1">
      <alignment horizontal="center" vertical="center"/>
    </xf>
    <xf numFmtId="169" fontId="136" fillId="98" borderId="246" xfId="1" applyNumberFormat="1" applyFont="1" applyFill="1" applyBorder="1" applyAlignment="1">
      <alignment horizontal="center" vertical="center"/>
    </xf>
    <xf numFmtId="169" fontId="136" fillId="98" borderId="217" xfId="1" applyNumberFormat="1" applyFont="1" applyFill="1" applyBorder="1" applyAlignment="1">
      <alignment horizontal="center" vertical="center"/>
    </xf>
    <xf numFmtId="0" fontId="64" fillId="0" borderId="180" xfId="0" applyFont="1" applyBorder="1" applyAlignment="1">
      <alignment horizontal="left" vertical="center" wrapText="1" indent="1"/>
    </xf>
    <xf numFmtId="0" fontId="64" fillId="97" borderId="180" xfId="0" applyFont="1" applyFill="1" applyBorder="1" applyAlignment="1">
      <alignment horizontal="left" vertical="center" wrapText="1" indent="1"/>
    </xf>
    <xf numFmtId="0" fontId="64" fillId="97" borderId="197" xfId="0" applyFont="1" applyFill="1" applyBorder="1" applyAlignment="1">
      <alignment horizontal="left" vertical="center" wrapText="1" indent="1"/>
    </xf>
    <xf numFmtId="0" fontId="1" fillId="97" borderId="211" xfId="0" applyFont="1" applyFill="1" applyBorder="1" applyAlignment="1">
      <alignment horizontal="left" vertical="center" indent="1"/>
    </xf>
    <xf numFmtId="3" fontId="1" fillId="0" borderId="200" xfId="0" applyNumberFormat="1" applyFont="1" applyBorder="1" applyAlignment="1">
      <alignment horizontal="center" vertical="center"/>
    </xf>
    <xf numFmtId="169" fontId="1" fillId="0" borderId="160" xfId="1" applyNumberFormat="1" applyFont="1" applyBorder="1" applyAlignment="1">
      <alignment horizontal="center" vertical="center"/>
    </xf>
    <xf numFmtId="3" fontId="1" fillId="0" borderId="160" xfId="0" applyNumberFormat="1" applyFont="1" applyBorder="1" applyAlignment="1">
      <alignment horizontal="center" vertical="center"/>
    </xf>
    <xf numFmtId="169" fontId="1" fillId="0" borderId="165" xfId="1" applyNumberFormat="1" applyFont="1" applyBorder="1" applyAlignment="1">
      <alignment horizontal="center" vertical="center"/>
    </xf>
    <xf numFmtId="3" fontId="1" fillId="97" borderId="200" xfId="0" applyNumberFormat="1" applyFont="1" applyFill="1" applyBorder="1" applyAlignment="1">
      <alignment horizontal="center" vertical="center"/>
    </xf>
    <xf numFmtId="169" fontId="1" fillId="97" borderId="160" xfId="1" applyNumberFormat="1" applyFont="1" applyFill="1" applyBorder="1" applyAlignment="1">
      <alignment horizontal="center" vertical="center"/>
    </xf>
    <xf numFmtId="3" fontId="1" fillId="97" borderId="160" xfId="0" applyNumberFormat="1" applyFont="1" applyFill="1" applyBorder="1" applyAlignment="1">
      <alignment horizontal="center" vertical="center"/>
    </xf>
    <xf numFmtId="169" fontId="1" fillId="97" borderId="165" xfId="1" applyNumberFormat="1" applyFont="1" applyFill="1" applyBorder="1" applyAlignment="1">
      <alignment horizontal="center" vertical="center"/>
    </xf>
    <xf numFmtId="169" fontId="1" fillId="3" borderId="160" xfId="1" applyNumberFormat="1" applyFont="1" applyFill="1" applyBorder="1" applyAlignment="1">
      <alignment horizontal="center" vertical="center"/>
    </xf>
    <xf numFmtId="169" fontId="1" fillId="97" borderId="161" xfId="1" applyNumberFormat="1" applyFont="1" applyFill="1" applyBorder="1" applyAlignment="1">
      <alignment horizontal="center" vertical="center"/>
    </xf>
    <xf numFmtId="3" fontId="1" fillId="97" borderId="161" xfId="0" applyNumberFormat="1" applyFont="1" applyFill="1" applyBorder="1" applyAlignment="1">
      <alignment horizontal="center" vertical="center"/>
    </xf>
    <xf numFmtId="169" fontId="1" fillId="97" borderId="166" xfId="1" applyNumberFormat="1" applyFont="1" applyFill="1" applyBorder="1" applyAlignment="1">
      <alignment horizontal="center" vertical="center"/>
    </xf>
    <xf numFmtId="3" fontId="109" fillId="98" borderId="213" xfId="0" applyNumberFormat="1" applyFont="1" applyFill="1" applyBorder="1" applyAlignment="1">
      <alignment horizontal="center" vertical="center"/>
    </xf>
    <xf numFmtId="169" fontId="109" fillId="98" borderId="303" xfId="1" applyNumberFormat="1" applyFont="1" applyFill="1" applyBorder="1" applyAlignment="1">
      <alignment horizontal="center" vertical="center"/>
    </xf>
    <xf numFmtId="169" fontId="109" fillId="98" borderId="305" xfId="1" applyNumberFormat="1" applyFont="1" applyFill="1" applyBorder="1" applyAlignment="1">
      <alignment horizontal="center" vertical="center"/>
    </xf>
    <xf numFmtId="169" fontId="109" fillId="98" borderId="216" xfId="1" applyNumberFormat="1" applyFont="1" applyFill="1" applyBorder="1" applyAlignment="1">
      <alignment horizontal="center" vertical="center"/>
    </xf>
    <xf numFmtId="169" fontId="109" fillId="98" borderId="304" xfId="1" applyNumberFormat="1" applyFont="1" applyFill="1" applyBorder="1" applyAlignment="1">
      <alignment horizontal="center" vertical="center"/>
    </xf>
    <xf numFmtId="169" fontId="109" fillId="98" borderId="306" xfId="1" applyNumberFormat="1" applyFont="1" applyFill="1" applyBorder="1" applyAlignment="1">
      <alignment horizontal="center" vertical="center"/>
    </xf>
    <xf numFmtId="169" fontId="64" fillId="0" borderId="165" xfId="1" applyNumberFormat="1" applyFont="1" applyBorder="1" applyAlignment="1">
      <alignment horizontal="center" vertical="center"/>
    </xf>
    <xf numFmtId="169" fontId="64" fillId="0" borderId="160" xfId="1" applyNumberFormat="1" applyFont="1" applyBorder="1" applyAlignment="1">
      <alignment horizontal="center" vertical="center"/>
    </xf>
    <xf numFmtId="3" fontId="64" fillId="3" borderId="160" xfId="0" applyNumberFormat="1" applyFont="1" applyFill="1" applyBorder="1" applyAlignment="1">
      <alignment horizontal="center" vertical="center"/>
    </xf>
    <xf numFmtId="3" fontId="64" fillId="97" borderId="160" xfId="0" applyNumberFormat="1" applyFont="1" applyFill="1" applyBorder="1" applyAlignment="1">
      <alignment horizontal="center" vertical="center"/>
    </xf>
    <xf numFmtId="169" fontId="64" fillId="97" borderId="165" xfId="1" applyNumberFormat="1" applyFont="1" applyFill="1" applyBorder="1" applyAlignment="1">
      <alignment horizontal="center" vertical="center"/>
    </xf>
    <xf numFmtId="169" fontId="64" fillId="97" borderId="160" xfId="1" applyNumberFormat="1" applyFont="1" applyFill="1" applyBorder="1" applyAlignment="1">
      <alignment horizontal="center" vertical="center"/>
    </xf>
    <xf numFmtId="169" fontId="64" fillId="97" borderId="161" xfId="1" applyNumberFormat="1" applyFont="1" applyFill="1" applyBorder="1" applyAlignment="1">
      <alignment horizontal="center" vertical="center"/>
    </xf>
    <xf numFmtId="3" fontId="64" fillId="97" borderId="161" xfId="0" applyNumberFormat="1" applyFont="1" applyFill="1" applyBorder="1" applyAlignment="1">
      <alignment horizontal="center" vertical="center"/>
    </xf>
    <xf numFmtId="3" fontId="136" fillId="98" borderId="213" xfId="0" applyNumberFormat="1" applyFont="1" applyFill="1" applyBorder="1" applyAlignment="1">
      <alignment horizontal="center" vertical="center"/>
    </xf>
    <xf numFmtId="169" fontId="136" fillId="98" borderId="223" xfId="1" applyNumberFormat="1" applyFont="1" applyFill="1" applyBorder="1" applyAlignment="1">
      <alignment horizontal="center" vertical="center"/>
    </xf>
    <xf numFmtId="169" fontId="136" fillId="98" borderId="409" xfId="1" applyNumberFormat="1" applyFont="1" applyFill="1" applyBorder="1" applyAlignment="1">
      <alignment horizontal="center" vertical="center"/>
    </xf>
    <xf numFmtId="169" fontId="136" fillId="98" borderId="1" xfId="1" applyNumberFormat="1" applyFont="1" applyFill="1" applyBorder="1" applyAlignment="1">
      <alignment horizontal="center" vertical="center"/>
    </xf>
    <xf numFmtId="169" fontId="136" fillId="98" borderId="284" xfId="1" applyNumberFormat="1" applyFont="1" applyFill="1" applyBorder="1" applyAlignment="1">
      <alignment horizontal="center" vertical="center"/>
    </xf>
    <xf numFmtId="169" fontId="136" fillId="98" borderId="410" xfId="1" applyNumberFormat="1" applyFont="1" applyFill="1" applyBorder="1" applyAlignment="1">
      <alignment horizontal="center" vertical="center"/>
    </xf>
    <xf numFmtId="169" fontId="136" fillId="98" borderId="408" xfId="1" applyNumberFormat="1" applyFont="1" applyFill="1" applyBorder="1" applyAlignment="1">
      <alignment horizontal="center" vertical="center"/>
    </xf>
    <xf numFmtId="169" fontId="136" fillId="98" borderId="411" xfId="1" applyNumberFormat="1" applyFont="1" applyFill="1" applyBorder="1" applyAlignment="1">
      <alignment horizontal="center" vertical="center"/>
    </xf>
    <xf numFmtId="3" fontId="64" fillId="0" borderId="112" xfId="0" applyNumberFormat="1" applyFont="1" applyBorder="1" applyAlignment="1">
      <alignment horizontal="center" vertical="center"/>
    </xf>
    <xf numFmtId="169" fontId="64" fillId="3" borderId="237" xfId="1" applyNumberFormat="1" applyFont="1" applyFill="1" applyBorder="1" applyAlignment="1">
      <alignment horizontal="center" vertical="center"/>
    </xf>
    <xf numFmtId="3" fontId="64" fillId="97" borderId="112" xfId="0" applyNumberFormat="1" applyFont="1" applyFill="1" applyBorder="1" applyAlignment="1">
      <alignment horizontal="center" vertical="center"/>
    </xf>
    <xf numFmtId="169" fontId="64" fillId="97" borderId="237" xfId="1" applyNumberFormat="1" applyFont="1" applyFill="1" applyBorder="1" applyAlignment="1">
      <alignment horizontal="center" vertical="center"/>
    </xf>
    <xf numFmtId="3" fontId="64" fillId="3" borderId="112" xfId="0" applyNumberFormat="1" applyFont="1" applyFill="1" applyBorder="1" applyAlignment="1">
      <alignment horizontal="center" vertical="center"/>
    </xf>
    <xf numFmtId="3" fontId="136" fillId="100" borderId="213" xfId="0" applyNumberFormat="1" applyFont="1" applyFill="1" applyBorder="1" applyAlignment="1">
      <alignment horizontal="center" vertical="center"/>
    </xf>
    <xf numFmtId="169" fontId="136" fillId="100" borderId="239" xfId="1" applyNumberFormat="1" applyFont="1" applyFill="1" applyBorder="1" applyAlignment="1">
      <alignment horizontal="center" vertical="center"/>
    </xf>
    <xf numFmtId="169" fontId="136" fillId="100" borderId="216" xfId="1" applyNumberFormat="1" applyFont="1" applyFill="1" applyBorder="1" applyAlignment="1">
      <alignment horizontal="center" vertical="center"/>
    </xf>
    <xf numFmtId="169" fontId="136" fillId="100" borderId="238" xfId="1" applyNumberFormat="1" applyFont="1" applyFill="1" applyBorder="1" applyAlignment="1">
      <alignment horizontal="center" vertical="center"/>
    </xf>
    <xf numFmtId="3" fontId="64" fillId="0" borderId="237" xfId="0" applyNumberFormat="1" applyFont="1" applyBorder="1" applyAlignment="1">
      <alignment horizontal="center" vertical="center"/>
    </xf>
    <xf numFmtId="3" fontId="64" fillId="97" borderId="237" xfId="0" applyNumberFormat="1" applyFont="1" applyFill="1" applyBorder="1" applyAlignment="1">
      <alignment horizontal="center" vertical="center"/>
    </xf>
    <xf numFmtId="3" fontId="136" fillId="98" borderId="214" xfId="0" applyNumberFormat="1" applyFont="1" applyFill="1" applyBorder="1" applyAlignment="1">
      <alignment horizontal="center" vertical="center"/>
    </xf>
    <xf numFmtId="0" fontId="112" fillId="100" borderId="162" xfId="0" applyFont="1" applyFill="1" applyBorder="1" applyAlignment="1">
      <alignment horizontal="center" vertical="center" wrapText="1"/>
    </xf>
    <xf numFmtId="49" fontId="198" fillId="0" borderId="233" xfId="0" applyNumberFormat="1" applyFont="1" applyBorder="1" applyAlignment="1">
      <alignment horizontal="left" vertical="center" indent="1"/>
    </xf>
    <xf numFmtId="3" fontId="192" fillId="0" borderId="6" xfId="0" applyNumberFormat="1" applyFont="1" applyBorder="1" applyAlignment="1">
      <alignment horizontal="right" vertical="center" indent="1"/>
    </xf>
    <xf numFmtId="3" fontId="192" fillId="0" borderId="160" xfId="0" applyNumberFormat="1" applyFont="1" applyBorder="1" applyAlignment="1">
      <alignment horizontal="right" vertical="center" indent="1"/>
    </xf>
    <xf numFmtId="169" fontId="192" fillId="0" borderId="165" xfId="1" applyNumberFormat="1" applyFont="1" applyBorder="1" applyAlignment="1">
      <alignment horizontal="right" vertical="center" indent="1"/>
    </xf>
    <xf numFmtId="49" fontId="191" fillId="97" borderId="180" xfId="0" applyNumberFormat="1" applyFont="1" applyFill="1" applyBorder="1" applyAlignment="1">
      <alignment horizontal="left" vertical="center" indent="1"/>
    </xf>
    <xf numFmtId="3" fontId="191" fillId="97" borderId="6" xfId="0" applyNumberFormat="1" applyFont="1" applyFill="1" applyBorder="1" applyAlignment="1">
      <alignment horizontal="right" vertical="center" indent="1"/>
    </xf>
    <xf numFmtId="169" fontId="191" fillId="97" borderId="165" xfId="1" applyNumberFormat="1" applyFont="1" applyFill="1" applyBorder="1" applyAlignment="1">
      <alignment horizontal="right" vertical="center" indent="1"/>
    </xf>
    <xf numFmtId="49" fontId="198" fillId="0" borderId="180" xfId="0" applyNumberFormat="1" applyFont="1" applyBorder="1" applyAlignment="1">
      <alignment horizontal="left" vertical="center" indent="1"/>
    </xf>
    <xf numFmtId="3" fontId="192" fillId="0" borderId="180" xfId="0" applyNumberFormat="1" applyFont="1" applyBorder="1" applyAlignment="1">
      <alignment horizontal="left" vertical="center" indent="1"/>
    </xf>
    <xf numFmtId="49" fontId="192" fillId="0" borderId="180" xfId="0" applyNumberFormat="1" applyFont="1" applyBorder="1" applyAlignment="1">
      <alignment horizontal="left" vertical="center" indent="1"/>
    </xf>
    <xf numFmtId="169" fontId="198" fillId="0" borderId="180" xfId="1" applyNumberFormat="1" applyFont="1" applyBorder="1" applyAlignment="1">
      <alignment horizontal="left" vertical="center" indent="1"/>
    </xf>
    <xf numFmtId="49" fontId="194" fillId="100" borderId="321" xfId="0" applyNumberFormat="1" applyFont="1" applyFill="1" applyBorder="1" applyAlignment="1">
      <alignment horizontal="left" vertical="center"/>
    </xf>
    <xf numFmtId="3" fontId="194" fillId="100" borderId="322" xfId="0" applyNumberFormat="1" applyFont="1" applyFill="1" applyBorder="1" applyAlignment="1">
      <alignment horizontal="right" vertical="center" wrapText="1" indent="1"/>
    </xf>
    <xf numFmtId="169" fontId="194" fillId="100" borderId="238" xfId="1" applyNumberFormat="1" applyFont="1" applyFill="1" applyBorder="1" applyAlignment="1">
      <alignment horizontal="right" vertical="center" wrapText="1" indent="1"/>
    </xf>
    <xf numFmtId="0" fontId="109" fillId="98" borderId="217" xfId="0" applyFont="1" applyFill="1" applyBorder="1" applyAlignment="1">
      <alignment horizontal="center" vertical="center" wrapText="1"/>
    </xf>
    <xf numFmtId="0" fontId="62" fillId="0" borderId="180" xfId="0" applyFont="1" applyBorder="1" applyAlignment="1">
      <alignment horizontal="left" vertical="center" indent="2"/>
    </xf>
    <xf numFmtId="3" fontId="62" fillId="3" borderId="112" xfId="0" applyNumberFormat="1" applyFont="1" applyFill="1" applyBorder="1" applyAlignment="1">
      <alignment horizontal="center" vertical="center"/>
    </xf>
    <xf numFmtId="3" fontId="62" fillId="3" borderId="237" xfId="0" applyNumberFormat="1" applyFont="1" applyFill="1" applyBorder="1" applyAlignment="1">
      <alignment horizontal="center" vertical="center"/>
    </xf>
    <xf numFmtId="0" fontId="62" fillId="97" borderId="180" xfId="0" applyFont="1" applyFill="1" applyBorder="1" applyAlignment="1">
      <alignment horizontal="left" vertical="center" indent="2"/>
    </xf>
    <xf numFmtId="3" fontId="62" fillId="97" borderId="112" xfId="0" applyNumberFormat="1" applyFont="1" applyFill="1" applyBorder="1" applyAlignment="1">
      <alignment horizontal="center" vertical="center"/>
    </xf>
    <xf numFmtId="3" fontId="62" fillId="97" borderId="237" xfId="0" applyNumberFormat="1" applyFont="1" applyFill="1" applyBorder="1" applyAlignment="1">
      <alignment horizontal="center" vertical="center"/>
    </xf>
    <xf numFmtId="0" fontId="62" fillId="97" borderId="211" xfId="0" applyFont="1" applyFill="1" applyBorder="1" applyAlignment="1">
      <alignment horizontal="left" vertical="center" indent="2"/>
    </xf>
    <xf numFmtId="3" fontId="112" fillId="98" borderId="213" xfId="0" applyNumberFormat="1" applyFont="1" applyFill="1" applyBorder="1" applyAlignment="1">
      <alignment horizontal="center" vertical="center"/>
    </xf>
    <xf numFmtId="3" fontId="112" fillId="98" borderId="214" xfId="0" applyNumberFormat="1" applyFont="1" applyFill="1" applyBorder="1" applyAlignment="1">
      <alignment horizontal="center" vertical="center"/>
    </xf>
    <xf numFmtId="169" fontId="112" fillId="98" borderId="216" xfId="1" applyNumberFormat="1" applyFont="1" applyFill="1" applyBorder="1" applyAlignment="1">
      <alignment horizontal="center" vertical="center"/>
    </xf>
    <xf numFmtId="169" fontId="112" fillId="98" borderId="217" xfId="1" applyNumberFormat="1" applyFont="1" applyFill="1" applyBorder="1" applyAlignment="1">
      <alignment horizontal="center" vertical="center"/>
    </xf>
    <xf numFmtId="3" fontId="103" fillId="0" borderId="160" xfId="0" applyNumberFormat="1" applyFont="1" applyBorder="1" applyAlignment="1">
      <alignment horizontal="center" vertical="center"/>
    </xf>
    <xf numFmtId="3" fontId="103" fillId="0" borderId="525" xfId="0" applyNumberFormat="1" applyFont="1" applyBorder="1" applyAlignment="1">
      <alignment horizontal="center" vertical="center"/>
    </xf>
    <xf numFmtId="3" fontId="103" fillId="97" borderId="160" xfId="0" applyNumberFormat="1" applyFont="1" applyFill="1" applyBorder="1" applyAlignment="1">
      <alignment horizontal="center" vertical="center"/>
    </xf>
    <xf numFmtId="3" fontId="103" fillId="97" borderId="525" xfId="0" applyNumberFormat="1" applyFont="1" applyFill="1" applyBorder="1" applyAlignment="1">
      <alignment horizontal="center" vertical="center"/>
    </xf>
    <xf numFmtId="3" fontId="149" fillId="100" borderId="213" xfId="0" applyNumberFormat="1" applyFont="1" applyFill="1" applyBorder="1" applyAlignment="1">
      <alignment horizontal="center" vertical="center"/>
    </xf>
    <xf numFmtId="3" fontId="149" fillId="100" borderId="529" xfId="0" applyNumberFormat="1" applyFont="1" applyFill="1" applyBorder="1" applyAlignment="1">
      <alignment horizontal="center" vertical="center"/>
    </xf>
    <xf numFmtId="169" fontId="149" fillId="100" borderId="259" xfId="1" applyNumberFormat="1" applyFont="1" applyFill="1" applyBorder="1" applyAlignment="1">
      <alignment horizontal="center" vertical="center"/>
    </xf>
    <xf numFmtId="169" fontId="149" fillId="100" borderId="283" xfId="1" applyNumberFormat="1" applyFont="1" applyFill="1" applyBorder="1" applyAlignment="1">
      <alignment horizontal="center" vertical="center"/>
    </xf>
    <xf numFmtId="3" fontId="13" fillId="0" borderId="165" xfId="0" applyNumberFormat="1" applyFont="1" applyBorder="1" applyAlignment="1">
      <alignment horizontal="center" vertical="center"/>
    </xf>
    <xf numFmtId="3" fontId="13" fillId="97" borderId="165" xfId="0" applyNumberFormat="1" applyFont="1" applyFill="1" applyBorder="1" applyAlignment="1">
      <alignment horizontal="center" vertical="center"/>
    </xf>
    <xf numFmtId="3" fontId="112" fillId="100" borderId="53" xfId="0" applyNumberFormat="1" applyFont="1" applyFill="1" applyBorder="1" applyAlignment="1">
      <alignment horizontal="center" vertical="center"/>
    </xf>
    <xf numFmtId="3" fontId="112" fillId="100" borderId="221" xfId="0" applyNumberFormat="1" applyFont="1" applyFill="1" applyBorder="1" applyAlignment="1">
      <alignment horizontal="center" vertical="center"/>
    </xf>
    <xf numFmtId="169" fontId="112" fillId="100" borderId="246" xfId="1" applyNumberFormat="1" applyFont="1" applyFill="1" applyBorder="1" applyAlignment="1">
      <alignment horizontal="center" vertical="center"/>
    </xf>
    <xf numFmtId="169" fontId="112" fillId="100" borderId="216" xfId="1" applyNumberFormat="1" applyFont="1" applyFill="1" applyBorder="1" applyAlignment="1">
      <alignment horizontal="center" vertical="center"/>
    </xf>
    <xf numFmtId="169" fontId="112" fillId="100" borderId="217" xfId="1" applyNumberFormat="1" applyFont="1" applyFill="1" applyBorder="1" applyAlignment="1">
      <alignment horizontal="center" vertical="center"/>
    </xf>
    <xf numFmtId="0" fontId="13" fillId="97" borderId="211" xfId="0" applyFont="1" applyFill="1" applyBorder="1" applyAlignment="1">
      <alignment horizontal="left" vertical="center" indent="1"/>
    </xf>
    <xf numFmtId="0" fontId="103" fillId="97" borderId="526" xfId="0" applyFont="1" applyFill="1" applyBorder="1" applyAlignment="1">
      <alignment horizontal="left" vertical="center" indent="1"/>
    </xf>
    <xf numFmtId="3" fontId="103" fillId="97" borderId="161" xfId="0" applyNumberFormat="1" applyFont="1" applyFill="1" applyBorder="1" applyAlignment="1">
      <alignment horizontal="center" vertical="center"/>
    </xf>
    <xf numFmtId="3" fontId="103" fillId="97" borderId="527" xfId="0" applyNumberFormat="1" applyFont="1" applyFill="1" applyBorder="1" applyAlignment="1">
      <alignment horizontal="center" vertical="center"/>
    </xf>
    <xf numFmtId="3" fontId="13" fillId="0" borderId="241" xfId="0" applyNumberFormat="1" applyFont="1" applyBorder="1" applyAlignment="1">
      <alignment horizontal="center" vertical="center"/>
    </xf>
    <xf numFmtId="3" fontId="13" fillId="0" borderId="242" xfId="0" applyNumberFormat="1" applyFont="1" applyBorder="1" applyAlignment="1">
      <alignment horizontal="center" vertical="center"/>
    </xf>
    <xf numFmtId="169" fontId="112" fillId="100" borderId="235" xfId="1" applyNumberFormat="1" applyFont="1" applyFill="1" applyBorder="1" applyAlignment="1">
      <alignment horizontal="center" vertical="center"/>
    </xf>
    <xf numFmtId="0" fontId="194" fillId="100" borderId="5" xfId="0" applyNumberFormat="1" applyFont="1" applyFill="1" applyBorder="1" applyAlignment="1">
      <alignment horizontal="center" vertical="center" wrapText="1"/>
    </xf>
    <xf numFmtId="3" fontId="135" fillId="3" borderId="31" xfId="0" applyNumberFormat="1" applyFont="1" applyFill="1" applyBorder="1" applyAlignment="1">
      <alignment horizontal="center" vertical="center"/>
    </xf>
    <xf numFmtId="169" fontId="135" fillId="3" borderId="72" xfId="0" applyNumberFormat="1" applyFont="1" applyFill="1" applyBorder="1" applyAlignment="1">
      <alignment horizontal="center" vertical="center"/>
    </xf>
    <xf numFmtId="3" fontId="135" fillId="97" borderId="6" xfId="0" applyNumberFormat="1" applyFont="1" applyFill="1" applyBorder="1" applyAlignment="1">
      <alignment horizontal="center" vertical="center"/>
    </xf>
    <xf numFmtId="169" fontId="135" fillId="97" borderId="44" xfId="0" applyNumberFormat="1" applyFont="1" applyFill="1" applyBorder="1" applyAlignment="1">
      <alignment horizontal="center" vertical="center"/>
    </xf>
    <xf numFmtId="3" fontId="135" fillId="3" borderId="6" xfId="0" applyNumberFormat="1" applyFont="1" applyFill="1" applyBorder="1" applyAlignment="1">
      <alignment horizontal="center" vertical="center"/>
    </xf>
    <xf numFmtId="169" fontId="135" fillId="3" borderId="44" xfId="0" applyNumberFormat="1" applyFont="1" applyFill="1" applyBorder="1" applyAlignment="1">
      <alignment horizontal="center" vertical="center"/>
    </xf>
    <xf numFmtId="3" fontId="152" fillId="100" borderId="3" xfId="0" applyNumberFormat="1" applyFont="1" applyFill="1" applyBorder="1" applyAlignment="1">
      <alignment horizontal="center" vertical="center"/>
    </xf>
    <xf numFmtId="3" fontId="152" fillId="100" borderId="4" xfId="0" applyNumberFormat="1" applyFont="1" applyFill="1" applyBorder="1" applyAlignment="1">
      <alignment horizontal="center" vertical="center"/>
    </xf>
    <xf numFmtId="169" fontId="152" fillId="100" borderId="103" xfId="1" applyNumberFormat="1" applyFont="1" applyFill="1" applyBorder="1" applyAlignment="1">
      <alignment horizontal="center" vertical="center"/>
    </xf>
    <xf numFmtId="169" fontId="152" fillId="100" borderId="1" xfId="1" applyNumberFormat="1" applyFont="1" applyFill="1" applyBorder="1" applyAlignment="1">
      <alignment horizontal="center" vertical="center"/>
    </xf>
    <xf numFmtId="169" fontId="152" fillId="100" borderId="4" xfId="1" applyNumberFormat="1" applyFont="1" applyFill="1" applyBorder="1" applyAlignment="1">
      <alignment horizontal="center" vertical="center"/>
    </xf>
    <xf numFmtId="169" fontId="152" fillId="100" borderId="76" xfId="1" applyNumberFormat="1" applyFont="1" applyFill="1" applyBorder="1" applyAlignment="1">
      <alignment horizontal="center" vertical="center"/>
    </xf>
    <xf numFmtId="169" fontId="152" fillId="100" borderId="77" xfId="1" applyNumberFormat="1" applyFont="1" applyFill="1" applyBorder="1" applyAlignment="1">
      <alignment horizontal="center" vertical="center"/>
    </xf>
    <xf numFmtId="3" fontId="79" fillId="100" borderId="167" xfId="2" applyNumberFormat="1" applyFont="1" applyFill="1" applyBorder="1" applyAlignment="1">
      <alignment horizontal="center" vertical="center" wrapText="1"/>
    </xf>
    <xf numFmtId="3" fontId="79" fillId="100" borderId="168" xfId="2" applyNumberFormat="1" applyFont="1" applyFill="1" applyBorder="1" applyAlignment="1">
      <alignment horizontal="center" vertical="center" wrapText="1"/>
    </xf>
    <xf numFmtId="3" fontId="79" fillId="100" borderId="531" xfId="2" applyNumberFormat="1" applyFont="1" applyFill="1" applyBorder="1" applyAlignment="1">
      <alignment horizontal="center" vertical="center" wrapText="1"/>
    </xf>
    <xf numFmtId="3" fontId="122" fillId="3" borderId="181" xfId="2" applyNumberFormat="1" applyFont="1" applyFill="1" applyBorder="1" applyAlignment="1">
      <alignment horizontal="right" vertical="center" indent="4"/>
    </xf>
    <xf numFmtId="3" fontId="122" fillId="3" borderId="182" xfId="2" applyNumberFormat="1" applyFont="1" applyFill="1" applyBorder="1" applyAlignment="1">
      <alignment horizontal="right" vertical="center" indent="4"/>
    </xf>
    <xf numFmtId="3" fontId="122" fillId="97" borderId="181" xfId="2" applyNumberFormat="1" applyFont="1" applyFill="1" applyBorder="1" applyAlignment="1">
      <alignment horizontal="right" vertical="center" indent="4"/>
    </xf>
    <xf numFmtId="3" fontId="122" fillId="97" borderId="182" xfId="2" applyNumberFormat="1" applyFont="1" applyFill="1" applyBorder="1" applyAlignment="1">
      <alignment horizontal="right" vertical="center" indent="4"/>
    </xf>
    <xf numFmtId="3" fontId="112" fillId="100" borderId="1" xfId="2" applyNumberFormat="1" applyFont="1" applyFill="1" applyBorder="1" applyAlignment="1">
      <alignment horizontal="right" vertical="center" indent="4"/>
    </xf>
    <xf numFmtId="3" fontId="112" fillId="100" borderId="244" xfId="2" applyNumberFormat="1" applyFont="1" applyFill="1" applyBorder="1" applyAlignment="1">
      <alignment horizontal="right" vertical="center" indent="4"/>
    </xf>
    <xf numFmtId="169" fontId="112" fillId="100" borderId="216" xfId="1" applyNumberFormat="1" applyFont="1" applyFill="1" applyBorder="1" applyAlignment="1">
      <alignment horizontal="right" vertical="center" indent="4"/>
    </xf>
    <xf numFmtId="169" fontId="112" fillId="100" borderId="217" xfId="1" applyNumberFormat="1" applyFont="1" applyFill="1" applyBorder="1" applyAlignment="1">
      <alignment horizontal="right" vertical="center" indent="4"/>
    </xf>
    <xf numFmtId="3" fontId="192" fillId="3" borderId="415" xfId="0" applyNumberFormat="1" applyFont="1" applyFill="1" applyBorder="1" applyAlignment="1">
      <alignment horizontal="left" vertical="center" indent="1"/>
    </xf>
    <xf numFmtId="3" fontId="192" fillId="3" borderId="416" xfId="0" applyNumberFormat="1" applyFont="1" applyFill="1" applyBorder="1" applyAlignment="1">
      <alignment horizontal="right" vertical="center" indent="1"/>
    </xf>
    <xf numFmtId="169" fontId="192" fillId="3" borderId="417" xfId="1" applyNumberFormat="1" applyFont="1" applyFill="1" applyBorder="1" applyAlignment="1">
      <alignment horizontal="right" vertical="center" indent="1"/>
    </xf>
    <xf numFmtId="3" fontId="192" fillId="97" borderId="418" xfId="0" applyNumberFormat="1" applyFont="1" applyFill="1" applyBorder="1" applyAlignment="1">
      <alignment horizontal="left" vertical="center" indent="1"/>
    </xf>
    <xf numFmtId="3" fontId="192" fillId="97" borderId="419" xfId="0" applyNumberFormat="1" applyFont="1" applyFill="1" applyBorder="1" applyAlignment="1">
      <alignment horizontal="right" vertical="center" indent="1"/>
    </xf>
    <xf numFmtId="169" fontId="192" fillId="97" borderId="420" xfId="1" applyNumberFormat="1" applyFont="1" applyFill="1" applyBorder="1" applyAlignment="1">
      <alignment horizontal="right" vertical="center" indent="1"/>
    </xf>
    <xf numFmtId="3" fontId="192" fillId="3" borderId="418" xfId="0" applyNumberFormat="1" applyFont="1" applyFill="1" applyBorder="1" applyAlignment="1">
      <alignment horizontal="left" vertical="center" indent="1"/>
    </xf>
    <xf numFmtId="3" fontId="192" fillId="3" borderId="419" xfId="0" applyNumberFormat="1" applyFont="1" applyFill="1" applyBorder="1" applyAlignment="1">
      <alignment horizontal="right" vertical="center" indent="1"/>
    </xf>
    <xf numFmtId="169" fontId="192" fillId="3" borderId="420" xfId="1" applyNumberFormat="1" applyFont="1" applyFill="1" applyBorder="1" applyAlignment="1">
      <alignment horizontal="right" vertical="center" indent="1"/>
    </xf>
    <xf numFmtId="3" fontId="192" fillId="97" borderId="421" xfId="0" applyNumberFormat="1" applyFont="1" applyFill="1" applyBorder="1" applyAlignment="1">
      <alignment horizontal="left" vertical="center" indent="1"/>
    </xf>
    <xf numFmtId="3" fontId="192" fillId="3" borderId="422" xfId="0" applyNumberFormat="1" applyFont="1" applyFill="1" applyBorder="1" applyAlignment="1">
      <alignment horizontal="left" vertical="center" indent="1"/>
    </xf>
    <xf numFmtId="3" fontId="192" fillId="3" borderId="292" xfId="0" applyNumberFormat="1" applyFont="1" applyFill="1" applyBorder="1" applyAlignment="1">
      <alignment horizontal="right" vertical="center" indent="1"/>
    </xf>
    <xf numFmtId="169" fontId="192" fillId="3" borderId="423" xfId="1" applyNumberFormat="1" applyFont="1" applyFill="1" applyBorder="1" applyAlignment="1">
      <alignment horizontal="right" vertical="center" indent="1"/>
    </xf>
    <xf numFmtId="3" fontId="192" fillId="97" borderId="422" xfId="0" applyNumberFormat="1" applyFont="1" applyFill="1" applyBorder="1" applyAlignment="1">
      <alignment horizontal="left" vertical="center" indent="1"/>
    </xf>
    <xf numFmtId="3" fontId="192" fillId="97" borderId="292" xfId="0" applyNumberFormat="1" applyFont="1" applyFill="1" applyBorder="1" applyAlignment="1">
      <alignment horizontal="right" vertical="center" indent="1"/>
    </xf>
    <xf numFmtId="169" fontId="192" fillId="97" borderId="423" xfId="1" applyNumberFormat="1" applyFont="1" applyFill="1" applyBorder="1" applyAlignment="1">
      <alignment horizontal="right" vertical="center" indent="1"/>
    </xf>
    <xf numFmtId="3" fontId="192" fillId="3" borderId="424" xfId="0" applyNumberFormat="1" applyFont="1" applyFill="1" applyBorder="1" applyAlignment="1">
      <alignment horizontal="left" vertical="center" indent="1"/>
    </xf>
    <xf numFmtId="3" fontId="192" fillId="3" borderId="425" xfId="0" applyNumberFormat="1" applyFont="1" applyFill="1" applyBorder="1" applyAlignment="1">
      <alignment horizontal="right" vertical="center" indent="1"/>
    </xf>
    <xf numFmtId="169" fontId="192" fillId="3" borderId="426" xfId="1" applyNumberFormat="1" applyFont="1" applyFill="1" applyBorder="1" applyAlignment="1">
      <alignment horizontal="right" vertical="center" indent="1"/>
    </xf>
    <xf numFmtId="3" fontId="192" fillId="97" borderId="427" xfId="0" applyNumberFormat="1" applyFont="1" applyFill="1" applyBorder="1" applyAlignment="1">
      <alignment horizontal="left" vertical="center" indent="1"/>
    </xf>
    <xf numFmtId="3" fontId="192" fillId="97" borderId="428" xfId="0" applyNumberFormat="1" applyFont="1" applyFill="1" applyBorder="1" applyAlignment="1">
      <alignment horizontal="right" vertical="center" indent="1"/>
    </xf>
    <xf numFmtId="169" fontId="192" fillId="97" borderId="429" xfId="1" applyNumberFormat="1" applyFont="1" applyFill="1" applyBorder="1" applyAlignment="1">
      <alignment horizontal="right" vertical="center" indent="1"/>
    </xf>
    <xf numFmtId="3" fontId="194" fillId="100" borderId="49" xfId="0" applyNumberFormat="1" applyFont="1" applyFill="1" applyBorder="1" applyAlignment="1">
      <alignment horizontal="left" vertical="center" wrapText="1" indent="1"/>
    </xf>
    <xf numFmtId="3" fontId="194" fillId="100" borderId="2" xfId="0" applyNumberFormat="1" applyFont="1" applyFill="1" applyBorder="1" applyAlignment="1">
      <alignment horizontal="right" vertical="center" wrapText="1" indent="1" readingOrder="1"/>
    </xf>
    <xf numFmtId="169" fontId="194" fillId="100" borderId="430" xfId="1" applyNumberFormat="1" applyFont="1" applyFill="1" applyBorder="1" applyAlignment="1">
      <alignment horizontal="right" vertical="center" wrapText="1" indent="1" readingOrder="1"/>
    </xf>
    <xf numFmtId="169" fontId="194" fillId="100" borderId="1" xfId="1" applyNumberFormat="1" applyFont="1" applyFill="1" applyBorder="1" applyAlignment="1">
      <alignment horizontal="right" vertical="center" wrapText="1" indent="1" readingOrder="1"/>
    </xf>
    <xf numFmtId="0" fontId="192" fillId="98" borderId="308" xfId="0" applyFont="1" applyFill="1" applyBorder="1"/>
    <xf numFmtId="0" fontId="192" fillId="98" borderId="431" xfId="0" applyFont="1" applyFill="1" applyBorder="1"/>
    <xf numFmtId="0" fontId="199" fillId="100" borderId="62" xfId="0" applyFont="1" applyFill="1" applyBorder="1" applyAlignment="1">
      <alignment horizontal="center" vertical="center" wrapText="1" readingOrder="1"/>
    </xf>
    <xf numFmtId="0" fontId="112" fillId="98" borderId="542" xfId="0" applyFont="1" applyFill="1" applyBorder="1" applyAlignment="1">
      <alignment horizontal="center" vertical="center"/>
    </xf>
    <xf numFmtId="0" fontId="112" fillId="95" borderId="441" xfId="0" applyFont="1" applyFill="1" applyBorder="1" applyAlignment="1">
      <alignment horizontal="center" vertical="center" wrapText="1"/>
    </xf>
    <xf numFmtId="0" fontId="112" fillId="98" borderId="441" xfId="0" applyFont="1" applyFill="1" applyBorder="1" applyAlignment="1">
      <alignment horizontal="center" vertical="center" wrapText="1"/>
    </xf>
    <xf numFmtId="0" fontId="112" fillId="98" borderId="442" xfId="0" applyFont="1" applyFill="1" applyBorder="1" applyAlignment="1">
      <alignment horizontal="center" vertical="center" wrapText="1"/>
    </xf>
    <xf numFmtId="3" fontId="122" fillId="97" borderId="106" xfId="0" applyNumberFormat="1" applyFont="1" applyFill="1" applyBorder="1" applyAlignment="1">
      <alignment horizontal="center" vertical="top"/>
    </xf>
    <xf numFmtId="3" fontId="122" fillId="97" borderId="255" xfId="0" applyNumberFormat="1" applyFont="1" applyFill="1" applyBorder="1" applyAlignment="1">
      <alignment horizontal="center" vertical="top"/>
    </xf>
    <xf numFmtId="3" fontId="88" fillId="0" borderId="120" xfId="1616" applyNumberFormat="1" applyFont="1" applyBorder="1" applyAlignment="1">
      <alignment horizontal="center" vertical="center"/>
    </xf>
    <xf numFmtId="169" fontId="88" fillId="0" borderId="253" xfId="1" applyNumberFormat="1" applyFont="1" applyBorder="1" applyAlignment="1">
      <alignment horizontal="center" vertical="center"/>
    </xf>
    <xf numFmtId="3" fontId="88" fillId="97" borderId="106" xfId="1616" applyNumberFormat="1" applyFont="1" applyFill="1" applyBorder="1" applyAlignment="1">
      <alignment horizontal="center" vertical="center"/>
    </xf>
    <xf numFmtId="3" fontId="88" fillId="62" borderId="106" xfId="1616" applyNumberFormat="1" applyFont="1" applyFill="1" applyBorder="1" applyAlignment="1">
      <alignment horizontal="center" vertical="center"/>
    </xf>
    <xf numFmtId="169" fontId="88" fillId="97" borderId="255" xfId="1" applyNumberFormat="1" applyFont="1" applyFill="1" applyBorder="1" applyAlignment="1">
      <alignment horizontal="center" vertical="center"/>
    </xf>
    <xf numFmtId="3" fontId="88" fillId="0" borderId="106" xfId="1616" applyNumberFormat="1" applyFont="1" applyBorder="1" applyAlignment="1">
      <alignment horizontal="center" vertical="center"/>
    </xf>
    <xf numFmtId="169" fontId="88" fillId="0" borderId="255" xfId="1" applyNumberFormat="1" applyFont="1" applyBorder="1" applyAlignment="1">
      <alignment horizontal="center" vertical="center"/>
    </xf>
    <xf numFmtId="3" fontId="68" fillId="101" borderId="106" xfId="0" applyNumberFormat="1" applyFont="1" applyFill="1" applyBorder="1" applyAlignment="1">
      <alignment horizontal="center" vertical="center"/>
    </xf>
    <xf numFmtId="3" fontId="68" fillId="106" borderId="106" xfId="0" applyNumberFormat="1" applyFont="1" applyFill="1" applyBorder="1" applyAlignment="1">
      <alignment horizontal="center" vertical="center"/>
    </xf>
    <xf numFmtId="169" fontId="68" fillId="101" borderId="255" xfId="1" applyNumberFormat="1" applyFont="1" applyFill="1" applyBorder="1" applyAlignment="1">
      <alignment horizontal="center" vertical="center"/>
    </xf>
    <xf numFmtId="169" fontId="148" fillId="98" borderId="257" xfId="1" applyNumberFormat="1" applyFont="1" applyFill="1" applyBorder="1" applyAlignment="1">
      <alignment horizontal="center" vertical="center"/>
    </xf>
    <xf numFmtId="0" fontId="148" fillId="98" borderId="262" xfId="0" applyFont="1" applyFill="1" applyBorder="1" applyAlignment="1">
      <alignment horizontal="center" vertical="center"/>
    </xf>
    <xf numFmtId="0" fontId="109" fillId="98" borderId="247" xfId="0" applyFont="1" applyFill="1" applyBorder="1" applyAlignment="1">
      <alignment horizontal="center" vertical="center" wrapText="1"/>
    </xf>
    <xf numFmtId="3" fontId="88" fillId="0" borderId="160" xfId="0" applyNumberFormat="1" applyFont="1" applyBorder="1" applyAlignment="1">
      <alignment horizontal="center" vertical="center"/>
    </xf>
    <xf numFmtId="169" fontId="88" fillId="0" borderId="165" xfId="1" applyNumberFormat="1" applyFont="1" applyBorder="1" applyAlignment="1">
      <alignment horizontal="center" vertical="center"/>
    </xf>
    <xf numFmtId="3" fontId="88" fillId="0" borderId="200" xfId="0" applyNumberFormat="1" applyFont="1" applyBorder="1" applyAlignment="1">
      <alignment horizontal="center" vertical="center"/>
    </xf>
    <xf numFmtId="3" fontId="88" fillId="97" borderId="160" xfId="0" applyNumberFormat="1" applyFont="1" applyFill="1" applyBorder="1" applyAlignment="1">
      <alignment horizontal="center" vertical="center"/>
    </xf>
    <xf numFmtId="169" fontId="88" fillId="97" borderId="165" xfId="1" applyNumberFormat="1" applyFont="1" applyFill="1" applyBorder="1" applyAlignment="1">
      <alignment horizontal="center" vertical="center"/>
    </xf>
    <xf numFmtId="3" fontId="88" fillId="97" borderId="200" xfId="0" applyNumberFormat="1" applyFont="1" applyFill="1" applyBorder="1" applyAlignment="1">
      <alignment horizontal="center" vertical="center"/>
    </xf>
    <xf numFmtId="169" fontId="88" fillId="97" borderId="160" xfId="1" applyNumberFormat="1" applyFont="1" applyFill="1" applyBorder="1" applyAlignment="1">
      <alignment horizontal="center" vertical="center"/>
    </xf>
    <xf numFmtId="169" fontId="88" fillId="3" borderId="160" xfId="1" applyNumberFormat="1" applyFont="1" applyFill="1" applyBorder="1" applyAlignment="1">
      <alignment horizontal="center" vertical="center"/>
    </xf>
    <xf numFmtId="3" fontId="68" fillId="0" borderId="160" xfId="0" applyNumberFormat="1" applyFont="1" applyBorder="1" applyAlignment="1">
      <alignment horizontal="center" vertical="center"/>
    </xf>
    <xf numFmtId="3" fontId="68" fillId="97" borderId="160" xfId="0" applyNumberFormat="1" applyFont="1" applyFill="1" applyBorder="1" applyAlignment="1">
      <alignment horizontal="center" vertical="center"/>
    </xf>
    <xf numFmtId="3" fontId="148" fillId="100" borderId="213" xfId="0" applyNumberFormat="1" applyFont="1" applyFill="1" applyBorder="1" applyAlignment="1">
      <alignment horizontal="center" vertical="center"/>
    </xf>
    <xf numFmtId="169" fontId="148" fillId="100" borderId="223" xfId="1" applyNumberFormat="1" applyFont="1" applyFill="1" applyBorder="1" applyAlignment="1">
      <alignment horizontal="center" vertical="center"/>
    </xf>
    <xf numFmtId="10" fontId="148" fillId="100" borderId="223" xfId="1" applyNumberFormat="1" applyFont="1" applyFill="1" applyBorder="1" applyAlignment="1">
      <alignment horizontal="center" vertical="center"/>
    </xf>
    <xf numFmtId="3" fontId="148" fillId="100" borderId="284" xfId="0" applyNumberFormat="1" applyFont="1" applyFill="1" applyBorder="1" applyAlignment="1">
      <alignment horizontal="center" vertical="center"/>
    </xf>
    <xf numFmtId="169" fontId="148" fillId="100" borderId="225" xfId="1" applyNumberFormat="1" applyFont="1" applyFill="1" applyBorder="1" applyAlignment="1">
      <alignment horizontal="center" vertical="center"/>
    </xf>
    <xf numFmtId="169" fontId="148" fillId="100" borderId="1" xfId="1" applyNumberFormat="1" applyFont="1" applyFill="1" applyBorder="1" applyAlignment="1">
      <alignment horizontal="center" vertical="center"/>
    </xf>
    <xf numFmtId="169" fontId="148" fillId="100" borderId="224" xfId="1" applyNumberFormat="1" applyFont="1" applyFill="1" applyBorder="1" applyAlignment="1">
      <alignment horizontal="center" vertical="center"/>
    </xf>
    <xf numFmtId="169" fontId="148" fillId="100" borderId="246" xfId="1" applyNumberFormat="1" applyFont="1" applyFill="1" applyBorder="1" applyAlignment="1">
      <alignment horizontal="center" vertical="center"/>
    </xf>
    <xf numFmtId="169" fontId="148" fillId="100" borderId="226" xfId="1" applyNumberFormat="1" applyFont="1" applyFill="1" applyBorder="1" applyAlignment="1">
      <alignment horizontal="center" vertical="center"/>
    </xf>
    <xf numFmtId="0" fontId="136" fillId="98" borderId="279" xfId="0" applyFont="1" applyFill="1" applyBorder="1" applyAlignment="1">
      <alignment horizontal="center" vertical="center"/>
    </xf>
    <xf numFmtId="0" fontId="136" fillId="98" borderId="280" xfId="0" applyFont="1" applyFill="1" applyBorder="1" applyAlignment="1">
      <alignment horizontal="center" vertical="center"/>
    </xf>
    <xf numFmtId="0" fontId="136" fillId="98" borderId="281" xfId="0" applyFont="1" applyFill="1" applyBorder="1" applyAlignment="1">
      <alignment horizontal="center" vertical="center"/>
    </xf>
    <xf numFmtId="3" fontId="88" fillId="0" borderId="293" xfId="0" applyNumberFormat="1" applyFont="1" applyBorder="1" applyAlignment="1">
      <alignment horizontal="center" vertical="center"/>
    </xf>
    <xf numFmtId="0" fontId="88" fillId="97" borderId="537" xfId="0" applyFont="1" applyFill="1" applyBorder="1" applyAlignment="1">
      <alignment horizontal="left" vertical="center" indent="1"/>
    </xf>
    <xf numFmtId="3" fontId="88" fillId="97" borderId="446" xfId="0" applyNumberFormat="1" applyFont="1" applyFill="1" applyBorder="1" applyAlignment="1">
      <alignment horizontal="center" vertical="center"/>
    </xf>
    <xf numFmtId="3" fontId="88" fillId="97" borderId="447" xfId="0" applyNumberFormat="1" applyFont="1" applyFill="1" applyBorder="1" applyAlignment="1">
      <alignment horizontal="center" vertical="center"/>
    </xf>
    <xf numFmtId="0" fontId="88" fillId="97" borderId="211" xfId="0" applyFont="1" applyFill="1" applyBorder="1" applyAlignment="1">
      <alignment horizontal="left" vertical="center" indent="1"/>
    </xf>
    <xf numFmtId="3" fontId="88" fillId="97" borderId="161" xfId="0" applyNumberFormat="1" applyFont="1" applyFill="1" applyBorder="1" applyAlignment="1">
      <alignment horizontal="center" vertical="center"/>
    </xf>
    <xf numFmtId="169" fontId="88" fillId="97" borderId="166" xfId="1" applyNumberFormat="1" applyFont="1" applyFill="1" applyBorder="1" applyAlignment="1">
      <alignment horizontal="center" vertical="center"/>
    </xf>
    <xf numFmtId="169" fontId="88" fillId="97" borderId="161" xfId="1" applyNumberFormat="1" applyFont="1" applyFill="1" applyBorder="1" applyAlignment="1">
      <alignment horizontal="center" vertical="center"/>
    </xf>
    <xf numFmtId="3" fontId="64" fillId="97" borderId="446" xfId="0" applyNumberFormat="1" applyFont="1" applyFill="1" applyBorder="1" applyAlignment="1">
      <alignment horizontal="center" vertical="center"/>
    </xf>
    <xf numFmtId="3" fontId="64" fillId="97" borderId="447" xfId="0" applyNumberFormat="1" applyFont="1" applyFill="1" applyBorder="1" applyAlignment="1">
      <alignment horizontal="center" vertical="center"/>
    </xf>
    <xf numFmtId="0" fontId="192" fillId="0" borderId="291" xfId="0" applyFont="1" applyBorder="1" applyAlignment="1">
      <alignment horizontal="left" vertical="center" indent="1"/>
    </xf>
    <xf numFmtId="0" fontId="192" fillId="97" borderId="537" xfId="0" applyFont="1" applyFill="1" applyBorder="1" applyAlignment="1">
      <alignment horizontal="left" vertical="center" indent="1"/>
    </xf>
    <xf numFmtId="3" fontId="76" fillId="0" borderId="104" xfId="0" applyNumberFormat="1" applyFont="1" applyBorder="1" applyAlignment="1">
      <alignment horizontal="right" vertical="center" wrapText="1" indent="1" readingOrder="1"/>
    </xf>
    <xf numFmtId="3" fontId="76" fillId="0" borderId="268" xfId="0" applyNumberFormat="1" applyFont="1" applyBorder="1" applyAlignment="1">
      <alignment horizontal="right" vertical="center" wrapText="1" indent="1" readingOrder="1"/>
    </xf>
    <xf numFmtId="3" fontId="76" fillId="97" borderId="6" xfId="0" applyNumberFormat="1" applyFont="1" applyFill="1" applyBorder="1" applyAlignment="1">
      <alignment horizontal="right" vertical="center" wrapText="1" indent="1" readingOrder="1"/>
    </xf>
    <xf numFmtId="3" fontId="76" fillId="97" borderId="270" xfId="0" applyNumberFormat="1" applyFont="1" applyFill="1" applyBorder="1" applyAlignment="1">
      <alignment horizontal="right" vertical="center" wrapText="1" indent="1" readingOrder="1"/>
    </xf>
    <xf numFmtId="3" fontId="76" fillId="0" borderId="6" xfId="0" applyNumberFormat="1" applyFont="1" applyBorder="1" applyAlignment="1">
      <alignment horizontal="right" vertical="center" wrapText="1" indent="1" readingOrder="1"/>
    </xf>
    <xf numFmtId="3" fontId="76" fillId="0" borderId="270" xfId="0" applyNumberFormat="1" applyFont="1" applyBorder="1" applyAlignment="1">
      <alignment horizontal="right" vertical="center" wrapText="1" indent="1" readingOrder="1"/>
    </xf>
    <xf numFmtId="3" fontId="76" fillId="3" borderId="6" xfId="0" applyNumberFormat="1" applyFont="1" applyFill="1" applyBorder="1" applyAlignment="1">
      <alignment horizontal="right" vertical="center" wrapText="1" indent="1" readingOrder="1"/>
    </xf>
    <xf numFmtId="3" fontId="76" fillId="3" borderId="270" xfId="0" applyNumberFormat="1" applyFont="1" applyFill="1" applyBorder="1" applyAlignment="1">
      <alignment horizontal="right" vertical="center" wrapText="1" indent="1" readingOrder="1"/>
    </xf>
    <xf numFmtId="3" fontId="136" fillId="95" borderId="53" xfId="0" applyNumberFormat="1" applyFont="1" applyFill="1" applyBorder="1" applyAlignment="1">
      <alignment horizontal="right" vertical="center" wrapText="1" indent="1" readingOrder="1"/>
    </xf>
    <xf numFmtId="3" fontId="136" fillId="95" borderId="275" xfId="0" applyNumberFormat="1" applyFont="1" applyFill="1" applyBorder="1" applyAlignment="1">
      <alignment horizontal="right" vertical="center" wrapText="1" indent="1" readingOrder="1"/>
    </xf>
    <xf numFmtId="169" fontId="136" fillId="95" borderId="1" xfId="1" applyNumberFormat="1" applyFont="1" applyFill="1" applyBorder="1" applyAlignment="1">
      <alignment horizontal="right" vertical="center" wrapText="1" indent="1" readingOrder="1"/>
    </xf>
    <xf numFmtId="169" fontId="136" fillId="95" borderId="271" xfId="1" applyNumberFormat="1" applyFont="1" applyFill="1" applyBorder="1" applyAlignment="1">
      <alignment horizontal="right" vertical="center" wrapText="1" indent="1" readingOrder="1"/>
    </xf>
    <xf numFmtId="0" fontId="173" fillId="0" borderId="0" xfId="0" applyFont="1"/>
    <xf numFmtId="0" fontId="136" fillId="4" borderId="274" xfId="0" applyFont="1" applyFill="1" applyBorder="1" applyAlignment="1">
      <alignment horizontal="left" vertical="center" wrapText="1" indent="1" readingOrder="1"/>
    </xf>
    <xf numFmtId="0" fontId="79" fillId="4" borderId="279" xfId="0" applyFont="1" applyFill="1" applyBorder="1" applyAlignment="1">
      <alignment horizontal="center" vertical="center" wrapText="1" readingOrder="1"/>
    </xf>
    <xf numFmtId="0" fontId="79" fillId="4" borderId="280" xfId="0" applyFont="1" applyFill="1" applyBorder="1" applyAlignment="1">
      <alignment horizontal="center" vertical="center" wrapText="1" readingOrder="1"/>
    </xf>
    <xf numFmtId="0" fontId="79" fillId="4" borderId="281" xfId="0" applyFont="1" applyFill="1" applyBorder="1" applyAlignment="1">
      <alignment horizontal="center" vertical="center" wrapText="1" readingOrder="1"/>
    </xf>
    <xf numFmtId="3" fontId="76" fillId="0" borderId="104" xfId="0" applyNumberFormat="1" applyFont="1" applyBorder="1" applyAlignment="1">
      <alignment horizontal="center" vertical="center" wrapText="1" readingOrder="1"/>
    </xf>
    <xf numFmtId="3" fontId="76" fillId="3" borderId="104" xfId="0" applyNumberFormat="1" applyFont="1" applyFill="1" applyBorder="1" applyAlignment="1">
      <alignment horizontal="center" vertical="center" wrapText="1" readingOrder="1"/>
    </xf>
    <xf numFmtId="3" fontId="76" fillId="3" borderId="276" xfId="0" applyNumberFormat="1" applyFont="1" applyFill="1" applyBorder="1" applyAlignment="1">
      <alignment horizontal="center" vertical="center" wrapText="1" readingOrder="1"/>
    </xf>
    <xf numFmtId="169" fontId="76" fillId="0" borderId="276" xfId="1" applyNumberFormat="1" applyFont="1" applyBorder="1" applyAlignment="1">
      <alignment horizontal="center" vertical="center" wrapText="1" readingOrder="1"/>
    </xf>
    <xf numFmtId="169" fontId="76" fillId="0" borderId="268" xfId="1" applyNumberFormat="1" applyFont="1" applyBorder="1" applyAlignment="1">
      <alignment horizontal="center" vertical="center" wrapText="1" readingOrder="1"/>
    </xf>
    <xf numFmtId="3" fontId="76" fillId="97" borderId="6" xfId="0" applyNumberFormat="1" applyFont="1" applyFill="1" applyBorder="1" applyAlignment="1">
      <alignment horizontal="center" vertical="center" wrapText="1" readingOrder="1"/>
    </xf>
    <xf numFmtId="3" fontId="76" fillId="62" borderId="6" xfId="0" applyNumberFormat="1" applyFont="1" applyFill="1" applyBorder="1" applyAlignment="1">
      <alignment horizontal="center" vertical="center" wrapText="1" readingOrder="1"/>
    </xf>
    <xf numFmtId="3" fontId="76" fillId="107" borderId="277" xfId="0" applyNumberFormat="1" applyFont="1" applyFill="1" applyBorder="1" applyAlignment="1">
      <alignment horizontal="center" vertical="center" wrapText="1" readingOrder="1"/>
    </xf>
    <xf numFmtId="169" fontId="76" fillId="97" borderId="277" xfId="1" applyNumberFormat="1" applyFont="1" applyFill="1" applyBorder="1" applyAlignment="1">
      <alignment horizontal="center" vertical="center" wrapText="1" readingOrder="1"/>
    </xf>
    <xf numFmtId="169" fontId="76" fillId="62" borderId="270" xfId="1" applyNumberFormat="1" applyFont="1" applyFill="1" applyBorder="1" applyAlignment="1">
      <alignment horizontal="center" vertical="center" wrapText="1" readingOrder="1"/>
    </xf>
    <xf numFmtId="3" fontId="76" fillId="3" borderId="6" xfId="0" applyNumberFormat="1" applyFont="1" applyFill="1" applyBorder="1" applyAlignment="1">
      <alignment horizontal="center" vertical="center" wrapText="1" readingOrder="1"/>
    </xf>
    <xf numFmtId="3" fontId="76" fillId="0" borderId="6" xfId="0" applyNumberFormat="1" applyFont="1" applyBorder="1" applyAlignment="1">
      <alignment horizontal="center" vertical="center" wrapText="1" readingOrder="1"/>
    </xf>
    <xf numFmtId="3" fontId="76" fillId="3" borderId="277" xfId="0" applyNumberFormat="1" applyFont="1" applyFill="1" applyBorder="1" applyAlignment="1">
      <alignment horizontal="center" vertical="center" wrapText="1" readingOrder="1"/>
    </xf>
    <xf numFmtId="169" fontId="76" fillId="0" borderId="277" xfId="1" applyNumberFormat="1" applyFont="1" applyBorder="1" applyAlignment="1">
      <alignment horizontal="center" vertical="center" wrapText="1" readingOrder="1"/>
    </xf>
    <xf numFmtId="169" fontId="76" fillId="0" borderId="270" xfId="1" applyNumberFormat="1" applyFont="1" applyBorder="1" applyAlignment="1">
      <alignment horizontal="center" vertical="center" wrapText="1" readingOrder="1"/>
    </xf>
    <xf numFmtId="3" fontId="76" fillId="0" borderId="277" xfId="0" applyNumberFormat="1" applyFont="1" applyBorder="1" applyAlignment="1">
      <alignment horizontal="center" vertical="center" wrapText="1" readingOrder="1"/>
    </xf>
    <xf numFmtId="169" fontId="76" fillId="3" borderId="277" xfId="1" applyNumberFormat="1" applyFont="1" applyFill="1" applyBorder="1" applyAlignment="1">
      <alignment horizontal="center" vertical="center" wrapText="1" readingOrder="1"/>
    </xf>
    <xf numFmtId="169" fontId="76" fillId="3" borderId="270" xfId="1" applyNumberFormat="1" applyFont="1" applyFill="1" applyBorder="1" applyAlignment="1">
      <alignment horizontal="center" vertical="center" wrapText="1" readingOrder="1"/>
    </xf>
    <xf numFmtId="3" fontId="136" fillId="4" borderId="261" xfId="0" applyNumberFormat="1" applyFont="1" applyFill="1" applyBorder="1" applyAlignment="1">
      <alignment horizontal="center" vertical="center" wrapText="1" readingOrder="1"/>
    </xf>
    <xf numFmtId="169" fontId="136" fillId="4" borderId="259" xfId="1" applyNumberFormat="1" applyFont="1" applyFill="1" applyBorder="1" applyAlignment="1">
      <alignment horizontal="center" vertical="center" wrapText="1" readingOrder="1"/>
    </xf>
    <xf numFmtId="169" fontId="136" fillId="4" borderId="283" xfId="1" applyNumberFormat="1" applyFont="1" applyFill="1" applyBorder="1" applyAlignment="1">
      <alignment horizontal="center" vertical="center" wrapText="1" readingOrder="1"/>
    </xf>
    <xf numFmtId="169" fontId="76" fillId="97" borderId="278" xfId="1" applyNumberFormat="1" applyFont="1" applyFill="1" applyBorder="1" applyAlignment="1">
      <alignment horizontal="center" vertical="center" wrapText="1" readingOrder="1"/>
    </xf>
    <xf numFmtId="169" fontId="76" fillId="62" borderId="282" xfId="1" applyNumberFormat="1" applyFont="1" applyFill="1" applyBorder="1" applyAlignment="1">
      <alignment horizontal="center" vertical="center" wrapText="1" readingOrder="1"/>
    </xf>
    <xf numFmtId="0" fontId="67" fillId="0" borderId="610" xfId="0" applyFont="1" applyBorder="1" applyAlignment="1">
      <alignment wrapText="1"/>
    </xf>
    <xf numFmtId="169" fontId="66" fillId="118" borderId="541" xfId="1" applyNumberFormat="1" applyFont="1" applyFill="1" applyBorder="1" applyAlignment="1">
      <alignment horizontal="right" vertical="center" wrapText="1" indent="1"/>
    </xf>
    <xf numFmtId="169" fontId="90" fillId="0" borderId="541" xfId="1" applyNumberFormat="1" applyFont="1" applyBorder="1" applyAlignment="1">
      <alignment horizontal="right" vertical="center" wrapText="1" indent="1"/>
    </xf>
    <xf numFmtId="169" fontId="187" fillId="98" borderId="260" xfId="1" applyNumberFormat="1" applyFont="1" applyFill="1" applyBorder="1" applyAlignment="1">
      <alignment horizontal="right" vertical="center" wrapText="1" indent="1"/>
    </xf>
    <xf numFmtId="169" fontId="67" fillId="0" borderId="0" xfId="1" applyNumberFormat="1" applyFont="1" applyAlignment="1">
      <alignment wrapText="1"/>
    </xf>
    <xf numFmtId="1" fontId="67" fillId="0" borderId="0" xfId="0" applyNumberFormat="1" applyFont="1" applyAlignment="1">
      <alignment wrapText="1"/>
    </xf>
    <xf numFmtId="0" fontId="67" fillId="119" borderId="0" xfId="0" applyFont="1" applyFill="1" applyAlignment="1">
      <alignment wrapText="1"/>
    </xf>
    <xf numFmtId="164" fontId="66" fillId="118" borderId="540" xfId="0" applyNumberFormat="1" applyFont="1" applyFill="1" applyBorder="1" applyAlignment="1">
      <alignment horizontal="right" vertical="center" wrapText="1" indent="1"/>
    </xf>
    <xf numFmtId="169" fontId="94" fillId="0" borderId="291" xfId="1" applyNumberFormat="1" applyFont="1" applyBorder="1" applyAlignment="1">
      <alignment horizontal="left" vertical="center" wrapText="1" indent="1"/>
    </xf>
    <xf numFmtId="3" fontId="94" fillId="0" borderId="292" xfId="1" applyNumberFormat="1" applyFont="1" applyBorder="1" applyAlignment="1">
      <alignment horizontal="right" vertical="center" wrapText="1" indent="2"/>
    </xf>
    <xf numFmtId="169" fontId="94" fillId="0" borderId="293" xfId="1" applyNumberFormat="1" applyFont="1" applyBorder="1" applyAlignment="1">
      <alignment horizontal="right" vertical="center" wrapText="1" indent="2"/>
    </xf>
    <xf numFmtId="0" fontId="139" fillId="0" borderId="0" xfId="0" applyFont="1" applyAlignment="1">
      <alignment horizontal="right" vertical="center" indent="2"/>
    </xf>
    <xf numFmtId="169" fontId="94" fillId="97" borderId="291" xfId="1" applyNumberFormat="1" applyFont="1" applyFill="1" applyBorder="1" applyAlignment="1">
      <alignment horizontal="left" vertical="center" wrapText="1" indent="1"/>
    </xf>
    <xf numFmtId="3" fontId="94" fillId="97" borderId="292" xfId="1" applyNumberFormat="1" applyFont="1" applyFill="1" applyBorder="1" applyAlignment="1">
      <alignment horizontal="right" vertical="center" wrapText="1" indent="2"/>
    </xf>
    <xf numFmtId="169" fontId="94" fillId="97" borderId="293" xfId="1" applyNumberFormat="1" applyFont="1" applyFill="1" applyBorder="1" applyAlignment="1">
      <alignment horizontal="right" vertical="center" wrapText="1" indent="2"/>
    </xf>
    <xf numFmtId="169" fontId="70" fillId="0" borderId="293" xfId="1" applyNumberFormat="1" applyFont="1" applyBorder="1" applyAlignment="1">
      <alignment horizontal="right" vertical="center" wrapText="1" indent="2"/>
    </xf>
    <xf numFmtId="0" fontId="197" fillId="128" borderId="274" xfId="0" applyFont="1" applyFill="1" applyBorder="1" applyAlignment="1">
      <alignment horizontal="left" vertical="center" wrapText="1" indent="1"/>
    </xf>
    <xf numFmtId="3" fontId="197" fillId="128" borderId="261" xfId="0" applyNumberFormat="1" applyFont="1" applyFill="1" applyBorder="1" applyAlignment="1">
      <alignment horizontal="right" vertical="center" wrapText="1" indent="2"/>
    </xf>
    <xf numFmtId="169" fontId="197" fillId="128" borderId="583" xfId="1" applyNumberFormat="1" applyFont="1" applyFill="1" applyBorder="1" applyAlignment="1">
      <alignment horizontal="right" vertical="center" wrapText="1" indent="2"/>
    </xf>
    <xf numFmtId="0" fontId="197" fillId="128" borderId="274" xfId="0" applyFont="1" applyFill="1" applyBorder="1" applyAlignment="1">
      <alignment vertical="center" wrapText="1"/>
    </xf>
    <xf numFmtId="0" fontId="197" fillId="128" borderId="279" xfId="0" applyFont="1" applyFill="1" applyBorder="1" applyAlignment="1">
      <alignment horizontal="center" vertical="center" wrapText="1"/>
    </xf>
    <xf numFmtId="0" fontId="197" fillId="128" borderId="280" xfId="0" applyNumberFormat="1" applyFont="1" applyFill="1" applyBorder="1" applyAlignment="1">
      <alignment horizontal="center" vertical="center" wrapText="1"/>
    </xf>
    <xf numFmtId="0" fontId="197" fillId="128" borderId="281" xfId="0" applyNumberFormat="1" applyFont="1" applyFill="1" applyBorder="1" applyAlignment="1">
      <alignment horizontal="center" vertical="center" wrapText="1"/>
    </xf>
    <xf numFmtId="0" fontId="130" fillId="90" borderId="136" xfId="0" applyFont="1" applyFill="1" applyBorder="1" applyAlignment="1">
      <alignment horizontal="center"/>
    </xf>
    <xf numFmtId="0" fontId="16" fillId="0" borderId="137" xfId="0" applyFont="1" applyBorder="1" applyAlignment="1">
      <alignment wrapText="1"/>
    </xf>
    <xf numFmtId="0" fontId="124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16" fillId="0" borderId="125" xfId="0" applyFont="1" applyBorder="1" applyAlignment="1">
      <alignment wrapText="1"/>
    </xf>
    <xf numFmtId="0" fontId="123" fillId="0" borderId="0" xfId="0" applyFont="1" applyAlignment="1">
      <alignment horizontal="center" vertical="center"/>
    </xf>
    <xf numFmtId="0" fontId="130" fillId="90" borderId="138" xfId="0" applyFont="1" applyFill="1" applyBorder="1" applyAlignment="1">
      <alignment horizontal="center" vertical="center" wrapText="1"/>
    </xf>
    <xf numFmtId="0" fontId="16" fillId="0" borderId="139" xfId="0" applyFont="1" applyBorder="1" applyAlignment="1">
      <alignment wrapText="1"/>
    </xf>
    <xf numFmtId="0" fontId="130" fillId="90" borderId="139" xfId="0" applyFont="1" applyFill="1" applyBorder="1" applyAlignment="1">
      <alignment horizontal="center" wrapText="1"/>
    </xf>
    <xf numFmtId="0" fontId="16" fillId="0" borderId="140" xfId="0" applyFont="1" applyBorder="1" applyAlignment="1">
      <alignment wrapText="1"/>
    </xf>
    <xf numFmtId="0" fontId="128" fillId="90" borderId="136" xfId="0" applyFont="1" applyFill="1" applyBorder="1" applyAlignment="1">
      <alignment horizontal="center"/>
    </xf>
    <xf numFmtId="0" fontId="16" fillId="0" borderId="141" xfId="0" applyFont="1" applyBorder="1" applyAlignment="1">
      <alignment wrapText="1"/>
    </xf>
    <xf numFmtId="0" fontId="131" fillId="91" borderId="142" xfId="0" applyFont="1" applyFill="1" applyBorder="1" applyAlignment="1">
      <alignment horizontal="center" vertical="center"/>
    </xf>
    <xf numFmtId="0" fontId="16" fillId="0" borderId="145" xfId="0" applyFont="1" applyBorder="1" applyAlignment="1">
      <alignment wrapText="1"/>
    </xf>
    <xf numFmtId="185" fontId="116" fillId="87" borderId="128" xfId="0" applyNumberFormat="1" applyFont="1" applyFill="1" applyBorder="1" applyAlignment="1">
      <alignment horizontal="center" vertical="center"/>
    </xf>
    <xf numFmtId="0" fontId="16" fillId="0" borderId="129" xfId="0" applyFont="1" applyBorder="1" applyAlignment="1">
      <alignment wrapText="1"/>
    </xf>
    <xf numFmtId="0" fontId="16" fillId="0" borderId="130" xfId="0" applyFont="1" applyBorder="1" applyAlignment="1">
      <alignment wrapText="1"/>
    </xf>
    <xf numFmtId="0" fontId="127" fillId="89" borderId="132" xfId="0" applyFont="1" applyFill="1" applyBorder="1" applyAlignment="1">
      <alignment horizontal="center"/>
    </xf>
    <xf numFmtId="0" fontId="16" fillId="0" borderId="133" xfId="0" applyFont="1" applyBorder="1" applyAlignment="1">
      <alignment wrapText="1"/>
    </xf>
    <xf numFmtId="0" fontId="16" fillId="0" borderId="134" xfId="0" applyFont="1" applyBorder="1" applyAlignment="1">
      <alignment wrapText="1"/>
    </xf>
    <xf numFmtId="0" fontId="128" fillId="89" borderId="135" xfId="0" applyFont="1" applyFill="1" applyBorder="1" applyAlignment="1">
      <alignment horizontal="center"/>
    </xf>
    <xf numFmtId="0" fontId="16" fillId="0" borderId="135" xfId="0" applyFont="1" applyBorder="1" applyAlignment="1">
      <alignment wrapText="1"/>
    </xf>
    <xf numFmtId="0" fontId="14" fillId="0" borderId="0" xfId="0" applyFont="1" applyBorder="1" applyAlignment="1">
      <alignment horizontal="center" vertical="center"/>
    </xf>
    <xf numFmtId="0" fontId="136" fillId="95" borderId="70" xfId="0" applyFont="1" applyFill="1" applyBorder="1" applyAlignment="1">
      <alignment horizontal="center" vertical="center"/>
    </xf>
    <xf numFmtId="0" fontId="136" fillId="95" borderId="102" xfId="0" applyFont="1" applyFill="1" applyBorder="1" applyAlignment="1">
      <alignment horizontal="center" vertical="center"/>
    </xf>
    <xf numFmtId="0" fontId="136" fillId="100" borderId="78" xfId="0" applyFont="1" applyFill="1" applyBorder="1" applyAlignment="1">
      <alignment horizontal="center" vertical="center"/>
    </xf>
    <xf numFmtId="0" fontId="136" fillId="100" borderId="87" xfId="0" applyFont="1" applyFill="1" applyBorder="1" applyAlignment="1">
      <alignment horizontal="center" vertical="center"/>
    </xf>
    <xf numFmtId="0" fontId="136" fillId="95" borderId="78" xfId="0" applyFont="1" applyFill="1" applyBorder="1" applyAlignment="1">
      <alignment horizontal="center" vertical="center" wrapText="1"/>
    </xf>
    <xf numFmtId="0" fontId="136" fillId="95" borderId="8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11" fillId="0" borderId="101" xfId="0" applyFont="1" applyBorder="1" applyAlignment="1">
      <alignment horizontal="center" vertical="center"/>
    </xf>
    <xf numFmtId="0" fontId="111" fillId="0" borderId="96" xfId="0" applyFont="1" applyBorder="1" applyAlignment="1">
      <alignment horizontal="center" vertical="center"/>
    </xf>
    <xf numFmtId="0" fontId="111" fillId="0" borderId="71" xfId="0" applyFont="1" applyBorder="1" applyAlignment="1">
      <alignment horizontal="center" vertical="center" wrapText="1"/>
    </xf>
    <xf numFmtId="0" fontId="111" fillId="0" borderId="43" xfId="0" applyFont="1" applyBorder="1" applyAlignment="1">
      <alignment horizontal="center" vertical="center" wrapText="1"/>
    </xf>
    <xf numFmtId="0" fontId="111" fillId="0" borderId="45" xfId="0" applyFont="1" applyBorder="1" applyAlignment="1">
      <alignment horizontal="center" vertical="center" wrapText="1"/>
    </xf>
    <xf numFmtId="0" fontId="150" fillId="95" borderId="90" xfId="0" applyFont="1" applyFill="1" applyBorder="1" applyAlignment="1">
      <alignment horizontal="center" vertical="center"/>
    </xf>
    <xf numFmtId="0" fontId="150" fillId="95" borderId="91" xfId="0" applyFont="1" applyFill="1" applyBorder="1" applyAlignment="1">
      <alignment horizontal="center" vertical="center"/>
    </xf>
    <xf numFmtId="0" fontId="136" fillId="95" borderId="92" xfId="0" applyFont="1" applyFill="1" applyBorder="1" applyAlignment="1">
      <alignment horizontal="center" vertical="center" wrapText="1"/>
    </xf>
    <xf numFmtId="0" fontId="136" fillId="95" borderId="90" xfId="0" applyFont="1" applyFill="1" applyBorder="1" applyAlignment="1">
      <alignment horizontal="center" vertical="center" wrapText="1"/>
    </xf>
    <xf numFmtId="0" fontId="136" fillId="98" borderId="249" xfId="0" applyFont="1" applyFill="1" applyBorder="1" applyAlignment="1">
      <alignment horizontal="center" vertical="center" wrapText="1"/>
    </xf>
    <xf numFmtId="0" fontId="136" fillId="98" borderId="433" xfId="0" applyFont="1" applyFill="1" applyBorder="1" applyAlignment="1">
      <alignment horizontal="center" vertical="center" wrapText="1"/>
    </xf>
    <xf numFmtId="0" fontId="194" fillId="98" borderId="65" xfId="0" applyFont="1" applyFill="1" applyBorder="1" applyAlignment="1">
      <alignment horizontal="center" vertical="center"/>
    </xf>
    <xf numFmtId="0" fontId="194" fillId="98" borderId="53" xfId="0" applyFont="1" applyFill="1" applyBorder="1" applyAlignment="1">
      <alignment horizontal="center" vertical="center"/>
    </xf>
    <xf numFmtId="0" fontId="194" fillId="98" borderId="41" xfId="0" applyFont="1" applyFill="1" applyBorder="1" applyAlignment="1">
      <alignment horizontal="center" vertical="center"/>
    </xf>
    <xf numFmtId="0" fontId="194" fillId="98" borderId="34" xfId="0" applyFont="1" applyFill="1" applyBorder="1" applyAlignment="1">
      <alignment horizontal="center" vertical="center"/>
    </xf>
    <xf numFmtId="0" fontId="136" fillId="98" borderId="250" xfId="0" applyFont="1" applyFill="1" applyBorder="1" applyAlignment="1">
      <alignment horizontal="center" vertical="center"/>
    </xf>
    <xf numFmtId="0" fontId="136" fillId="98" borderId="286" xfId="0" applyFont="1" applyFill="1" applyBorder="1" applyAlignment="1">
      <alignment horizontal="center" vertical="center"/>
    </xf>
    <xf numFmtId="0" fontId="136" fillId="98" borderId="272" xfId="0" applyFont="1" applyFill="1" applyBorder="1" applyAlignment="1">
      <alignment horizontal="left" vertical="center"/>
    </xf>
    <xf numFmtId="0" fontId="136" fillId="98" borderId="274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1" fillId="0" borderId="101" xfId="0" applyFont="1" applyBorder="1" applyAlignment="1">
      <alignment horizontal="center" vertical="center"/>
    </xf>
    <xf numFmtId="0" fontId="191" fillId="0" borderId="96" xfId="0" applyFont="1" applyBorder="1" applyAlignment="1">
      <alignment horizontal="center" vertical="center"/>
    </xf>
    <xf numFmtId="0" fontId="191" fillId="0" borderId="71" xfId="0" applyFont="1" applyBorder="1" applyAlignment="1">
      <alignment horizontal="center" vertical="center" wrapText="1"/>
    </xf>
    <xf numFmtId="0" fontId="191" fillId="0" borderId="43" xfId="0" applyFont="1" applyBorder="1" applyAlignment="1">
      <alignment horizontal="center" vertical="center" wrapText="1"/>
    </xf>
    <xf numFmtId="0" fontId="191" fillId="0" borderId="508" xfId="0" applyFont="1" applyBorder="1" applyAlignment="1">
      <alignment horizontal="center" vertical="center" wrapText="1"/>
    </xf>
    <xf numFmtId="0" fontId="109" fillId="98" borderId="39" xfId="0" applyFont="1" applyFill="1" applyBorder="1" applyAlignment="1">
      <alignment horizontal="center" vertical="center" wrapText="1"/>
    </xf>
    <xf numFmtId="0" fontId="109" fillId="98" borderId="63" xfId="0" applyFont="1" applyFill="1" applyBorder="1" applyAlignment="1">
      <alignment horizontal="center" vertical="center" wrapText="1"/>
    </xf>
    <xf numFmtId="0" fontId="109" fillId="98" borderId="33" xfId="0" applyFont="1" applyFill="1" applyBorder="1" applyAlignment="1">
      <alignment horizontal="center" vertical="center" wrapText="1"/>
    </xf>
    <xf numFmtId="0" fontId="109" fillId="98" borderId="40" xfId="0" applyFont="1" applyFill="1" applyBorder="1" applyAlignment="1">
      <alignment horizontal="center" vertical="center" wrapText="1"/>
    </xf>
    <xf numFmtId="169" fontId="79" fillId="98" borderId="55" xfId="1" applyNumberFormat="1" applyFont="1" applyFill="1" applyBorder="1" applyAlignment="1">
      <alignment horizontal="center" vertical="center"/>
    </xf>
    <xf numFmtId="169" fontId="79" fillId="98" borderId="56" xfId="1" applyNumberFormat="1" applyFont="1" applyFill="1" applyBorder="1" applyAlignment="1">
      <alignment horizontal="center" vertical="center"/>
    </xf>
    <xf numFmtId="169" fontId="79" fillId="98" borderId="57" xfId="1" applyNumberFormat="1" applyFont="1" applyFill="1" applyBorder="1" applyAlignment="1">
      <alignment horizontal="center" vertical="center"/>
    </xf>
    <xf numFmtId="169" fontId="79" fillId="98" borderId="454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5" fillId="98" borderId="79" xfId="0" applyFont="1" applyFill="1" applyBorder="1" applyAlignment="1">
      <alignment horizontal="center" vertical="center" wrapText="1"/>
    </xf>
    <xf numFmtId="0" fontId="15" fillId="98" borderId="122" xfId="0" applyFont="1" applyFill="1" applyBorder="1" applyAlignment="1">
      <alignment horizontal="center" vertical="center" wrapText="1"/>
    </xf>
    <xf numFmtId="0" fontId="15" fillId="98" borderId="78" xfId="0" applyFont="1" applyFill="1" applyBorder="1" applyAlignment="1">
      <alignment horizontal="center" vertical="center" wrapText="1"/>
    </xf>
    <xf numFmtId="0" fontId="15" fillId="98" borderId="95" xfId="0" applyFont="1" applyFill="1" applyBorder="1" applyAlignment="1">
      <alignment horizontal="center" vertical="center" wrapText="1"/>
    </xf>
    <xf numFmtId="0" fontId="15" fillId="98" borderId="33" xfId="0" applyFont="1" applyFill="1" applyBorder="1" applyAlignment="1">
      <alignment horizontal="center" vertical="center" wrapText="1"/>
    </xf>
    <xf numFmtId="0" fontId="15" fillId="98" borderId="58" xfId="0" applyFont="1" applyFill="1" applyBorder="1" applyAlignment="1">
      <alignment horizontal="center" vertical="center" wrapText="1"/>
    </xf>
    <xf numFmtId="0" fontId="15" fillId="98" borderId="450" xfId="0" applyFont="1" applyFill="1" applyBorder="1" applyAlignment="1">
      <alignment horizontal="center" vertical="center" wrapText="1"/>
    </xf>
    <xf numFmtId="0" fontId="109" fillId="98" borderId="63" xfId="0" applyFont="1" applyFill="1" applyBorder="1" applyAlignment="1">
      <alignment horizontal="left" vertical="center"/>
    </xf>
    <xf numFmtId="0" fontId="109" fillId="98" borderId="66" xfId="0" applyFont="1" applyFill="1" applyBorder="1" applyAlignment="1">
      <alignment horizontal="left" vertical="center"/>
    </xf>
    <xf numFmtId="0" fontId="77" fillId="0" borderId="0" xfId="0" applyFont="1" applyAlignment="1">
      <alignment horizontal="center" vertical="center"/>
    </xf>
    <xf numFmtId="0" fontId="15" fillId="98" borderId="39" xfId="0" applyFont="1" applyFill="1" applyBorder="1" applyAlignment="1">
      <alignment horizontal="center" vertical="center" wrapText="1"/>
    </xf>
    <xf numFmtId="0" fontId="15" fillId="98" borderId="63" xfId="0" applyFont="1" applyFill="1" applyBorder="1" applyAlignment="1">
      <alignment horizontal="center" vertical="center" wrapText="1"/>
    </xf>
    <xf numFmtId="0" fontId="15" fillId="98" borderId="48" xfId="0" applyFont="1" applyFill="1" applyBorder="1" applyAlignment="1">
      <alignment horizontal="center" vertical="center" wrapText="1"/>
    </xf>
    <xf numFmtId="0" fontId="15" fillId="98" borderId="40" xfId="0" applyFont="1" applyFill="1" applyBorder="1" applyAlignment="1">
      <alignment horizontal="center" vertical="center" wrapText="1"/>
    </xf>
    <xf numFmtId="0" fontId="15" fillId="98" borderId="84" xfId="0" applyFont="1" applyFill="1" applyBorder="1" applyAlignment="1">
      <alignment horizontal="center" vertical="center" wrapText="1"/>
    </xf>
    <xf numFmtId="0" fontId="15" fillId="109" borderId="58" xfId="0" applyFont="1" applyFill="1" applyBorder="1" applyAlignment="1">
      <alignment horizontal="center" vertical="center" wrapText="1"/>
    </xf>
    <xf numFmtId="0" fontId="15" fillId="109" borderId="450" xfId="0" applyFont="1" applyFill="1" applyBorder="1" applyAlignment="1">
      <alignment horizontal="center" vertical="center" wrapText="1"/>
    </xf>
    <xf numFmtId="0" fontId="120" fillId="0" borderId="0" xfId="431" applyFont="1" applyBorder="1" applyAlignment="1">
      <alignment horizontal="left"/>
    </xf>
    <xf numFmtId="0" fontId="1" fillId="0" borderId="0" xfId="0" applyFont="1" applyAlignment="1">
      <alignment horizontal="center"/>
    </xf>
    <xf numFmtId="0" fontId="71" fillId="0" borderId="0" xfId="0" applyFont="1" applyAlignment="1">
      <alignment horizontal="center"/>
    </xf>
    <xf numFmtId="0" fontId="15" fillId="109" borderId="78" xfId="0" applyFont="1" applyFill="1" applyBorder="1" applyAlignment="1">
      <alignment horizontal="center" vertical="center" wrapText="1"/>
    </xf>
    <xf numFmtId="0" fontId="15" fillId="109" borderId="95" xfId="0" applyFont="1" applyFill="1" applyBorder="1" applyAlignment="1">
      <alignment horizontal="center" vertical="center" wrapText="1"/>
    </xf>
    <xf numFmtId="0" fontId="109" fillId="100" borderId="114" xfId="0" applyFont="1" applyFill="1" applyBorder="1" applyAlignment="1">
      <alignment horizontal="center" vertical="center" wrapText="1"/>
    </xf>
    <xf numFmtId="0" fontId="109" fillId="100" borderId="115" xfId="0" applyFont="1" applyFill="1" applyBorder="1" applyAlignment="1">
      <alignment horizontal="center" vertical="center" wrapText="1"/>
    </xf>
    <xf numFmtId="0" fontId="77" fillId="0" borderId="0" xfId="0" applyFont="1" applyBorder="1" applyAlignment="1">
      <alignment horizontal="center" vertical="center" wrapText="1"/>
    </xf>
    <xf numFmtId="0" fontId="15" fillId="100" borderId="114" xfId="0" applyFont="1" applyFill="1" applyBorder="1" applyAlignment="1">
      <alignment horizontal="center" vertical="center" wrapText="1"/>
    </xf>
    <xf numFmtId="0" fontId="15" fillId="100" borderId="11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5" fillId="100" borderId="167" xfId="227" applyNumberFormat="1" applyFont="1" applyFill="1" applyBorder="1" applyAlignment="1">
      <alignment horizontal="center" vertical="center" wrapText="1"/>
    </xf>
    <xf numFmtId="0" fontId="15" fillId="100" borderId="169" xfId="227" applyNumberFormat="1" applyFont="1" applyFill="1" applyBorder="1" applyAlignment="1">
      <alignment horizontal="center" vertical="center" wrapText="1"/>
    </xf>
    <xf numFmtId="0" fontId="15" fillId="100" borderId="168" xfId="227" applyNumberFormat="1" applyFont="1" applyFill="1" applyBorder="1" applyAlignment="1">
      <alignment horizontal="center" vertical="center" wrapText="1"/>
    </xf>
    <xf numFmtId="0" fontId="15" fillId="100" borderId="5" xfId="227" applyNumberFormat="1" applyFont="1" applyFill="1" applyBorder="1" applyAlignment="1">
      <alignment horizontal="center" vertical="center" wrapText="1"/>
    </xf>
    <xf numFmtId="0" fontId="15" fillId="100" borderId="163" xfId="227" applyNumberFormat="1" applyFont="1" applyFill="1" applyBorder="1" applyAlignment="1">
      <alignment horizontal="center" vertical="center" wrapText="1"/>
    </xf>
    <xf numFmtId="0" fontId="15" fillId="100" borderId="87" xfId="227" applyNumberFormat="1" applyFont="1" applyFill="1" applyBorder="1" applyAlignment="1">
      <alignment horizontal="center" vertical="center" wrapText="1"/>
    </xf>
    <xf numFmtId="0" fontId="79" fillId="100" borderId="172" xfId="227" applyNumberFormat="1" applyFont="1" applyFill="1" applyBorder="1" applyAlignment="1">
      <alignment horizontal="center" vertical="center"/>
    </xf>
    <xf numFmtId="0" fontId="79" fillId="100" borderId="173" xfId="227" applyNumberFormat="1" applyFont="1" applyFill="1" applyBorder="1" applyAlignment="1">
      <alignment horizontal="center" vertical="center"/>
    </xf>
    <xf numFmtId="0" fontId="15" fillId="100" borderId="164" xfId="227" applyNumberFormat="1" applyFont="1" applyFill="1" applyBorder="1" applyAlignment="1">
      <alignment horizontal="center" vertical="center" wrapText="1"/>
    </xf>
    <xf numFmtId="0" fontId="15" fillId="100" borderId="170" xfId="227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190" fillId="98" borderId="562" xfId="0" applyFont="1" applyFill="1" applyBorder="1" applyAlignment="1">
      <alignment horizontal="center" vertical="center"/>
    </xf>
    <xf numFmtId="0" fontId="190" fillId="98" borderId="439" xfId="0" applyFont="1" applyFill="1" applyBorder="1" applyAlignment="1">
      <alignment horizontal="center" vertical="center"/>
    </xf>
    <xf numFmtId="0" fontId="190" fillId="98" borderId="563" xfId="0" applyFont="1" applyFill="1" applyBorder="1" applyAlignment="1">
      <alignment horizontal="center" vertical="center"/>
    </xf>
    <xf numFmtId="0" fontId="70" fillId="0" borderId="323" xfId="0" applyFont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0" fillId="0" borderId="564" xfId="0" applyFont="1" applyBorder="1" applyAlignment="1">
      <alignment horizontal="center" vertical="center" wrapText="1"/>
    </xf>
    <xf numFmtId="0" fontId="70" fillId="99" borderId="323" xfId="0" applyFont="1" applyFill="1" applyBorder="1" applyAlignment="1">
      <alignment horizontal="center" vertical="center" wrapText="1"/>
    </xf>
    <xf numFmtId="0" fontId="70" fillId="99" borderId="0" xfId="0" applyFont="1" applyFill="1" applyAlignment="1">
      <alignment horizontal="center" vertical="center" wrapText="1"/>
    </xf>
    <xf numFmtId="0" fontId="70" fillId="99" borderId="564" xfId="0" applyFont="1" applyFill="1" applyBorder="1" applyAlignment="1">
      <alignment horizontal="center" vertical="center" wrapText="1"/>
    </xf>
    <xf numFmtId="0" fontId="70" fillId="0" borderId="565" xfId="0" applyFont="1" applyBorder="1" applyAlignment="1">
      <alignment horizontal="center" vertical="center" wrapText="1"/>
    </xf>
    <xf numFmtId="0" fontId="70" fillId="0" borderId="437" xfId="0" applyFont="1" applyBorder="1" applyAlignment="1">
      <alignment horizontal="center" vertical="center" wrapText="1"/>
    </xf>
    <xf numFmtId="0" fontId="70" fillId="0" borderId="538" xfId="0" applyFont="1" applyBorder="1" applyAlignment="1">
      <alignment horizontal="center" vertical="center" wrapText="1"/>
    </xf>
    <xf numFmtId="0" fontId="90" fillId="0" borderId="0" xfId="0" applyFont="1" applyAlignment="1">
      <alignment horizontal="left" vertical="center" wrapText="1"/>
    </xf>
    <xf numFmtId="0" fontId="90" fillId="0" borderId="0" xfId="0" applyFont="1" applyAlignment="1">
      <alignment horizontal="justify" vertical="center" wrapText="1"/>
    </xf>
    <xf numFmtId="0" fontId="79" fillId="98" borderId="308" xfId="0" applyFont="1" applyFill="1" applyBorder="1" applyAlignment="1">
      <alignment horizontal="center" vertical="center"/>
    </xf>
    <xf numFmtId="0" fontId="79" fillId="98" borderId="337" xfId="0" applyFont="1" applyFill="1" applyBorder="1" applyAlignment="1">
      <alignment horizontal="center" vertical="center"/>
    </xf>
    <xf numFmtId="3" fontId="79" fillId="98" borderId="300" xfId="0" applyNumberFormat="1" applyFont="1" applyFill="1" applyBorder="1" applyAlignment="1">
      <alignment horizontal="center" vertical="center" wrapText="1"/>
    </xf>
    <xf numFmtId="3" fontId="79" fillId="98" borderId="248" xfId="0" applyNumberFormat="1" applyFont="1" applyFill="1" applyBorder="1" applyAlignment="1">
      <alignment horizontal="center" vertical="center" wrapText="1"/>
    </xf>
    <xf numFmtId="3" fontId="79" fillId="98" borderId="301" xfId="0" applyNumberFormat="1" applyFont="1" applyFill="1" applyBorder="1" applyAlignment="1">
      <alignment horizontal="center" vertical="center" wrapText="1"/>
    </xf>
    <xf numFmtId="3" fontId="79" fillId="98" borderId="302" xfId="0" applyNumberFormat="1" applyFont="1" applyFill="1" applyBorder="1" applyAlignment="1">
      <alignment horizontal="center" vertical="center" wrapText="1"/>
    </xf>
    <xf numFmtId="3" fontId="79" fillId="98" borderId="350" xfId="0" applyNumberFormat="1" applyFont="1" applyFill="1" applyBorder="1" applyAlignment="1">
      <alignment horizontal="center" vertical="center" wrapText="1"/>
    </xf>
    <xf numFmtId="3" fontId="79" fillId="98" borderId="353" xfId="0" applyNumberFormat="1" applyFont="1" applyFill="1" applyBorder="1" applyAlignment="1">
      <alignment horizontal="center" vertical="center" wrapText="1"/>
    </xf>
    <xf numFmtId="3" fontId="79" fillId="98" borderId="351" xfId="0" applyNumberFormat="1" applyFont="1" applyFill="1" applyBorder="1" applyAlignment="1">
      <alignment horizontal="center" vertical="center" wrapText="1"/>
    </xf>
    <xf numFmtId="3" fontId="79" fillId="98" borderId="354" xfId="0" applyNumberFormat="1" applyFont="1" applyFill="1" applyBorder="1" applyAlignment="1">
      <alignment horizontal="center" vertical="center" wrapText="1"/>
    </xf>
    <xf numFmtId="3" fontId="87" fillId="0" borderId="343" xfId="0" applyNumberFormat="1" applyFont="1" applyBorder="1" applyAlignment="1">
      <alignment horizontal="center" vertical="center"/>
    </xf>
    <xf numFmtId="3" fontId="87" fillId="0" borderId="294" xfId="0" applyNumberFormat="1" applyFont="1" applyBorder="1" applyAlignment="1">
      <alignment horizontal="center" vertical="center"/>
    </xf>
    <xf numFmtId="3" fontId="87" fillId="0" borderId="292" xfId="0" applyNumberFormat="1" applyFont="1" applyBorder="1" applyAlignment="1">
      <alignment horizontal="center" vertical="center"/>
    </xf>
    <xf numFmtId="0" fontId="79" fillId="98" borderId="377" xfId="0" applyFont="1" applyFill="1" applyBorder="1" applyAlignment="1">
      <alignment horizontal="center" vertical="center"/>
    </xf>
    <xf numFmtId="0" fontId="79" fillId="98" borderId="378" xfId="0" applyFont="1" applyFill="1" applyBorder="1" applyAlignment="1">
      <alignment horizontal="center" vertical="center"/>
    </xf>
    <xf numFmtId="3" fontId="87" fillId="0" borderId="379" xfId="0" applyNumberFormat="1" applyFont="1" applyBorder="1" applyAlignment="1">
      <alignment horizontal="center" vertical="center"/>
    </xf>
    <xf numFmtId="3" fontId="87" fillId="0" borderId="381" xfId="0" applyNumberFormat="1" applyFont="1" applyBorder="1" applyAlignment="1">
      <alignment horizontal="center" vertical="center"/>
    </xf>
    <xf numFmtId="3" fontId="87" fillId="0" borderId="382" xfId="0" applyNumberFormat="1" applyFont="1" applyBorder="1" applyAlignment="1">
      <alignment horizontal="center" vertical="center"/>
    </xf>
    <xf numFmtId="3" fontId="87" fillId="0" borderId="380" xfId="0" applyNumberFormat="1" applyFont="1" applyBorder="1" applyAlignment="1">
      <alignment horizontal="center" vertical="center"/>
    </xf>
    <xf numFmtId="3" fontId="87" fillId="0" borderId="383" xfId="0" applyNumberFormat="1" applyFont="1" applyBorder="1" applyAlignment="1">
      <alignment horizontal="center" vertical="center"/>
    </xf>
    <xf numFmtId="0" fontId="143" fillId="2" borderId="31" xfId="0" applyFont="1" applyFill="1" applyBorder="1" applyAlignment="1">
      <alignment horizontal="center" vertical="center"/>
    </xf>
    <xf numFmtId="0" fontId="143" fillId="2" borderId="388" xfId="0" applyFont="1" applyFill="1" applyBorder="1" applyAlignment="1">
      <alignment horizontal="center" vertical="center"/>
    </xf>
    <xf numFmtId="0" fontId="62" fillId="0" borderId="355" xfId="0" applyFont="1" applyBorder="1"/>
    <xf numFmtId="0" fontId="62" fillId="0" borderId="0" xfId="0" applyFont="1"/>
    <xf numFmtId="0" fontId="62" fillId="0" borderId="365" xfId="0" applyFont="1" applyBorder="1"/>
    <xf numFmtId="0" fontId="62" fillId="0" borderId="358" xfId="0" applyFont="1" applyBorder="1"/>
    <xf numFmtId="0" fontId="62" fillId="0" borderId="371" xfId="0" applyFont="1" applyBorder="1" applyAlignment="1">
      <alignment horizontal="center"/>
    </xf>
    <xf numFmtId="0" fontId="62" fillId="0" borderId="372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2" fillId="0" borderId="356" xfId="0" applyFont="1" applyBorder="1" applyAlignment="1">
      <alignment horizontal="center"/>
    </xf>
    <xf numFmtId="0" fontId="112" fillId="98" borderId="377" xfId="0" applyFont="1" applyFill="1" applyBorder="1" applyAlignment="1">
      <alignment horizontal="center" vertical="center"/>
    </xf>
    <xf numFmtId="0" fontId="112" fillId="98" borderId="378" xfId="0" applyFont="1" applyFill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43" fontId="14" fillId="97" borderId="552" xfId="147" applyFont="1" applyFill="1" applyBorder="1" applyAlignment="1">
      <alignment horizontal="center" vertical="center"/>
    </xf>
    <xf numFmtId="43" fontId="14" fillId="97" borderId="553" xfId="147" applyFont="1" applyFill="1" applyBorder="1" applyAlignment="1">
      <alignment horizontal="center" vertical="center"/>
    </xf>
    <xf numFmtId="43" fontId="14" fillId="3" borderId="550" xfId="147" applyFont="1" applyFill="1" applyBorder="1" applyAlignment="1">
      <alignment horizontal="center" vertical="center"/>
    </xf>
    <xf numFmtId="43" fontId="14" fillId="3" borderId="374" xfId="147" applyFont="1" applyFill="1" applyBorder="1" applyAlignment="1">
      <alignment horizontal="center" vertical="center"/>
    </xf>
    <xf numFmtId="43" fontId="14" fillId="3" borderId="551" xfId="147" applyFont="1" applyFill="1" applyBorder="1" applyAlignment="1">
      <alignment horizontal="center" vertical="center"/>
    </xf>
    <xf numFmtId="0" fontId="57" fillId="0" borderId="88" xfId="0" applyFont="1" applyBorder="1" applyAlignment="1">
      <alignment horizontal="left" vertical="center" indent="1"/>
    </xf>
    <xf numFmtId="0" fontId="57" fillId="0" borderId="43" xfId="0" applyFont="1" applyBorder="1" applyAlignment="1">
      <alignment horizontal="left" vertical="center" indent="1"/>
    </xf>
    <xf numFmtId="0" fontId="57" fillId="0" borderId="73" xfId="0" applyFont="1" applyBorder="1" applyAlignment="1">
      <alignment horizontal="left" vertical="center" indent="1"/>
    </xf>
    <xf numFmtId="0" fontId="57" fillId="0" borderId="555" xfId="0" applyFont="1" applyBorder="1" applyAlignment="1">
      <alignment horizontal="left" vertical="center" indent="1"/>
    </xf>
    <xf numFmtId="0" fontId="57" fillId="0" borderId="556" xfId="0" applyFont="1" applyBorder="1" applyAlignment="1">
      <alignment horizontal="left" vertical="center" indent="1"/>
    </xf>
    <xf numFmtId="0" fontId="57" fillId="0" borderId="369" xfId="0" applyFont="1" applyBorder="1" applyAlignment="1">
      <alignment horizontal="left" vertical="center" indent="1"/>
    </xf>
    <xf numFmtId="0" fontId="79" fillId="98" borderId="406" xfId="1616" applyFont="1" applyFill="1" applyBorder="1" applyAlignment="1">
      <alignment horizontal="left" vertical="center" wrapText="1" indent="1"/>
    </xf>
    <xf numFmtId="0" fontId="79" fillId="98" borderId="407" xfId="1616" applyFont="1" applyFill="1" applyBorder="1" applyAlignment="1">
      <alignment horizontal="left" vertical="center" wrapText="1" indent="1"/>
    </xf>
    <xf numFmtId="0" fontId="57" fillId="3" borderId="31" xfId="0" applyFont="1" applyFill="1" applyBorder="1" applyAlignment="1">
      <alignment horizontal="left" vertical="center" indent="1"/>
    </xf>
    <xf numFmtId="0" fontId="57" fillId="3" borderId="6" xfId="0" applyFont="1" applyFill="1" applyBorder="1" applyAlignment="1">
      <alignment horizontal="left" vertical="center" indent="1"/>
    </xf>
    <xf numFmtId="0" fontId="57" fillId="3" borderId="32" xfId="0" applyFont="1" applyFill="1" applyBorder="1" applyAlignment="1">
      <alignment horizontal="left" vertical="center" indent="1"/>
    </xf>
    <xf numFmtId="0" fontId="79" fillId="95" borderId="65" xfId="0" applyFont="1" applyFill="1" applyBorder="1" applyAlignment="1">
      <alignment horizontal="left" vertical="center" indent="1"/>
    </xf>
    <xf numFmtId="0" fontId="79" fillId="95" borderId="41" xfId="0" applyFont="1" applyFill="1" applyBorder="1" applyAlignment="1">
      <alignment horizontal="left" vertical="center" indent="1"/>
    </xf>
    <xf numFmtId="0" fontId="79" fillId="98" borderId="406" xfId="1616" applyFont="1" applyFill="1" applyBorder="1" applyAlignment="1">
      <alignment horizontal="center" vertical="center"/>
    </xf>
    <xf numFmtId="0" fontId="79" fillId="98" borderId="407" xfId="1616" applyFont="1" applyFill="1" applyBorder="1" applyAlignment="1">
      <alignment horizontal="center" vertical="center"/>
    </xf>
    <xf numFmtId="0" fontId="16" fillId="0" borderId="158" xfId="0" applyFont="1" applyBorder="1" applyAlignment="1">
      <alignment wrapText="1"/>
    </xf>
    <xf numFmtId="0" fontId="16" fillId="0" borderId="131" xfId="0" applyFont="1" applyBorder="1" applyAlignment="1">
      <alignment wrapText="1"/>
    </xf>
    <xf numFmtId="3" fontId="136" fillId="98" borderId="209" xfId="0" applyNumberFormat="1" applyFont="1" applyFill="1" applyBorder="1" applyAlignment="1">
      <alignment horizontal="left" vertical="center"/>
    </xf>
    <xf numFmtId="3" fontId="136" fillId="98" borderId="234" xfId="0" applyNumberFormat="1" applyFont="1" applyFill="1" applyBorder="1" applyAlignment="1">
      <alignment horizontal="left" vertical="center"/>
    </xf>
    <xf numFmtId="0" fontId="109" fillId="100" borderId="79" xfId="0" applyFont="1" applyFill="1" applyBorder="1" applyAlignment="1">
      <alignment horizontal="center" vertical="center" wrapText="1"/>
    </xf>
    <xf numFmtId="0" fontId="109" fillId="100" borderId="122" xfId="0" applyFont="1" applyFill="1" applyBorder="1" applyAlignment="1">
      <alignment horizontal="center" vertical="center" wrapText="1"/>
    </xf>
    <xf numFmtId="0" fontId="109" fillId="100" borderId="33" xfId="0" applyFont="1" applyFill="1" applyBorder="1" applyAlignment="1">
      <alignment horizontal="center" vertical="center" wrapText="1"/>
    </xf>
    <xf numFmtId="0" fontId="109" fillId="100" borderId="40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0" fontId="96" fillId="0" borderId="0" xfId="0" applyFont="1" applyAlignment="1">
      <alignment horizontal="center"/>
    </xf>
    <xf numFmtId="0" fontId="109" fillId="98" borderId="212" xfId="0" applyFont="1" applyFill="1" applyBorder="1" applyAlignment="1">
      <alignment horizontal="left" vertical="center" indent="1"/>
    </xf>
    <xf numFmtId="0" fontId="109" fillId="98" borderId="215" xfId="0" applyFont="1" applyFill="1" applyBorder="1" applyAlignment="1">
      <alignment horizontal="left" vertical="center" indent="1"/>
    </xf>
    <xf numFmtId="0" fontId="109" fillId="98" borderId="229" xfId="0" applyFont="1" applyFill="1" applyBorder="1" applyAlignment="1">
      <alignment horizontal="center" vertical="center" wrapText="1"/>
    </xf>
    <xf numFmtId="0" fontId="109" fillId="98" borderId="230" xfId="0" applyFont="1" applyFill="1" applyBorder="1" applyAlignment="1">
      <alignment horizontal="center" vertical="center" wrapText="1"/>
    </xf>
    <xf numFmtId="0" fontId="109" fillId="98" borderId="218" xfId="0" applyFont="1" applyFill="1" applyBorder="1" applyAlignment="1">
      <alignment horizontal="center" vertical="center" wrapText="1"/>
    </xf>
    <xf numFmtId="0" fontId="109" fillId="98" borderId="220" xfId="0" applyFont="1" applyFill="1" applyBorder="1" applyAlignment="1">
      <alignment horizontal="center" vertical="center" wrapText="1"/>
    </xf>
    <xf numFmtId="0" fontId="109" fillId="98" borderId="219" xfId="0" applyFont="1" applyFill="1" applyBorder="1" applyAlignment="1">
      <alignment horizontal="center" vertical="center" wrapText="1"/>
    </xf>
    <xf numFmtId="0" fontId="79" fillId="98" borderId="438" xfId="0" applyFont="1" applyFill="1" applyBorder="1" applyAlignment="1">
      <alignment horizontal="center" vertical="center"/>
    </xf>
    <xf numFmtId="0" fontId="79" fillId="98" borderId="439" xfId="0" applyFont="1" applyFill="1" applyBorder="1" applyAlignment="1">
      <alignment horizontal="center" vertical="center"/>
    </xf>
    <xf numFmtId="0" fontId="79" fillId="98" borderId="440" xfId="0" applyFont="1" applyFill="1" applyBorder="1" applyAlignment="1">
      <alignment horizontal="center" vertical="center"/>
    </xf>
    <xf numFmtId="0" fontId="79" fillId="95" borderId="65" xfId="0" applyFont="1" applyFill="1" applyBorder="1" applyAlignment="1">
      <alignment horizontal="left" vertical="center" wrapText="1" indent="1"/>
    </xf>
    <xf numFmtId="0" fontId="79" fillId="95" borderId="41" xfId="0" applyFont="1" applyFill="1" applyBorder="1" applyAlignment="1">
      <alignment horizontal="left" vertical="center" wrapText="1" indent="1"/>
    </xf>
    <xf numFmtId="0" fontId="13" fillId="101" borderId="444" xfId="0" applyFont="1" applyFill="1" applyBorder="1" applyAlignment="1">
      <alignment horizontal="left" vertical="center" wrapText="1"/>
    </xf>
    <xf numFmtId="0" fontId="13" fillId="101" borderId="437" xfId="0" applyFont="1" applyFill="1" applyBorder="1" applyAlignment="1">
      <alignment horizontal="left" vertical="center" wrapText="1"/>
    </xf>
    <xf numFmtId="0" fontId="13" fillId="101" borderId="445" xfId="0" applyFont="1" applyFill="1" applyBorder="1" applyAlignment="1">
      <alignment horizontal="left" vertical="center" wrapText="1"/>
    </xf>
    <xf numFmtId="0" fontId="109" fillId="98" borderId="163" xfId="0" applyFont="1" applyFill="1" applyBorder="1" applyAlignment="1">
      <alignment horizontal="center" vertical="center" wrapText="1"/>
    </xf>
    <xf numFmtId="0" fontId="109" fillId="98" borderId="95" xfId="0" applyFont="1" applyFill="1" applyBorder="1" applyAlignment="1">
      <alignment horizontal="center" vertical="center" wrapText="1"/>
    </xf>
    <xf numFmtId="0" fontId="109" fillId="98" borderId="164" xfId="0" applyFont="1" applyFill="1" applyBorder="1" applyAlignment="1">
      <alignment horizontal="center" vertical="center" wrapText="1"/>
    </xf>
    <xf numFmtId="0" fontId="109" fillId="98" borderId="222" xfId="0" applyFont="1" applyFill="1" applyBorder="1" applyAlignment="1">
      <alignment horizontal="center" vertical="center" wrapText="1"/>
    </xf>
    <xf numFmtId="0" fontId="13" fillId="0" borderId="443" xfId="0" applyFont="1" applyBorder="1" applyAlignment="1">
      <alignment horizontal="left" vertical="center"/>
    </xf>
    <xf numFmtId="0" fontId="13" fillId="0" borderId="324" xfId="0" applyFont="1" applyBorder="1" applyAlignment="1">
      <alignment horizontal="left" vertical="center"/>
    </xf>
    <xf numFmtId="0" fontId="13" fillId="97" borderId="443" xfId="0" applyFont="1" applyFill="1" applyBorder="1" applyAlignment="1">
      <alignment horizontal="left" vertical="center"/>
    </xf>
    <xf numFmtId="0" fontId="13" fillId="97" borderId="0" xfId="0" applyFont="1" applyFill="1" applyBorder="1" applyAlignment="1">
      <alignment horizontal="left" vertical="center"/>
    </xf>
    <xf numFmtId="0" fontId="13" fillId="97" borderId="324" xfId="0" applyFont="1" applyFill="1" applyBorder="1" applyAlignment="1">
      <alignment horizontal="left" vertical="center"/>
    </xf>
    <xf numFmtId="0" fontId="13" fillId="101" borderId="443" xfId="0" applyFont="1" applyFill="1" applyBorder="1" applyAlignment="1">
      <alignment horizontal="left" vertical="center"/>
    </xf>
    <xf numFmtId="0" fontId="13" fillId="101" borderId="0" xfId="0" applyFont="1" applyFill="1" applyBorder="1" applyAlignment="1">
      <alignment horizontal="left" vertical="center"/>
    </xf>
    <xf numFmtId="0" fontId="13" fillId="101" borderId="324" xfId="0" applyFont="1" applyFill="1" applyBorder="1" applyAlignment="1">
      <alignment horizontal="left" vertical="center"/>
    </xf>
    <xf numFmtId="0" fontId="109" fillId="98" borderId="168" xfId="0" applyFont="1" applyFill="1" applyBorder="1" applyAlignment="1">
      <alignment horizontal="center" vertical="center" wrapText="1"/>
    </xf>
    <xf numFmtId="0" fontId="136" fillId="100" borderId="162" xfId="0" applyFont="1" applyFill="1" applyBorder="1" applyAlignment="1">
      <alignment horizontal="center" vertical="center" wrapText="1"/>
    </xf>
    <xf numFmtId="0" fontId="136" fillId="100" borderId="234" xfId="0" applyFont="1" applyFill="1" applyBorder="1" applyAlignment="1">
      <alignment horizontal="center" vertical="center" wrapText="1"/>
    </xf>
    <xf numFmtId="49" fontId="136" fillId="100" borderId="218" xfId="0" applyNumberFormat="1" applyFont="1" applyFill="1" applyBorder="1" applyAlignment="1">
      <alignment horizontal="center" vertical="center" wrapText="1"/>
    </xf>
    <xf numFmtId="49" fontId="136" fillId="100" borderId="220" xfId="0" applyNumberFormat="1" applyFont="1" applyFill="1" applyBorder="1" applyAlignment="1">
      <alignment horizontal="center" vertical="center" wrapText="1"/>
    </xf>
    <xf numFmtId="49" fontId="136" fillId="100" borderId="219" xfId="0" applyNumberFormat="1" applyFont="1" applyFill="1" applyBorder="1" applyAlignment="1">
      <alignment horizontal="center" vertical="center" wrapText="1"/>
    </xf>
    <xf numFmtId="49" fontId="136" fillId="100" borderId="163" xfId="0" applyNumberFormat="1" applyFont="1" applyFill="1" applyBorder="1" applyAlignment="1">
      <alignment horizontal="center" vertical="center" wrapText="1"/>
    </xf>
    <xf numFmtId="49" fontId="136" fillId="100" borderId="246" xfId="0" applyNumberFormat="1" applyFont="1" applyFill="1" applyBorder="1" applyAlignment="1">
      <alignment horizontal="center" vertical="center" wrapText="1"/>
    </xf>
    <xf numFmtId="49" fontId="136" fillId="100" borderId="164" xfId="0" applyNumberFormat="1" applyFont="1" applyFill="1" applyBorder="1" applyAlignment="1">
      <alignment horizontal="center" vertical="center" wrapText="1"/>
    </xf>
    <xf numFmtId="49" fontId="136" fillId="100" borderId="235" xfId="0" applyNumberFormat="1" applyFont="1" applyFill="1" applyBorder="1" applyAlignment="1">
      <alignment horizontal="center" vertical="center" wrapText="1"/>
    </xf>
    <xf numFmtId="0" fontId="79" fillId="98" borderId="167" xfId="0" applyFont="1" applyFill="1" applyBorder="1" applyAlignment="1">
      <alignment horizontal="center" vertical="center" wrapText="1"/>
    </xf>
    <xf numFmtId="0" fontId="79" fillId="98" borderId="412" xfId="0" applyFont="1" applyFill="1" applyBorder="1" applyAlignment="1">
      <alignment horizontal="center" vertical="center" wrapText="1"/>
    </xf>
    <xf numFmtId="0" fontId="108" fillId="0" borderId="0" xfId="0" applyFont="1" applyAlignment="1">
      <alignment horizontal="center"/>
    </xf>
    <xf numFmtId="0" fontId="136" fillId="100" borderId="212" xfId="0" applyFont="1" applyFill="1" applyBorder="1" applyAlignment="1">
      <alignment horizontal="left" vertical="center" indent="1"/>
    </xf>
    <xf numFmtId="0" fontId="136" fillId="100" borderId="215" xfId="0" applyFont="1" applyFill="1" applyBorder="1" applyAlignment="1">
      <alignment horizontal="left" vertical="center" indent="1"/>
    </xf>
    <xf numFmtId="0" fontId="79" fillId="98" borderId="218" xfId="0" applyFont="1" applyFill="1" applyBorder="1" applyAlignment="1">
      <alignment horizontal="center" vertical="center" wrapText="1"/>
    </xf>
    <xf numFmtId="0" fontId="79" fillId="98" borderId="220" xfId="0" applyFont="1" applyFill="1" applyBorder="1" applyAlignment="1">
      <alignment horizontal="center" vertical="center" wrapText="1"/>
    </xf>
    <xf numFmtId="169" fontId="136" fillId="98" borderId="227" xfId="1" applyNumberFormat="1" applyFont="1" applyFill="1" applyBorder="1" applyAlignment="1">
      <alignment horizontal="center" vertical="center"/>
    </xf>
    <xf numFmtId="169" fontId="136" fillId="98" borderId="232" xfId="1" applyNumberFormat="1" applyFont="1" applyFill="1" applyBorder="1" applyAlignment="1">
      <alignment horizontal="center" vertical="center"/>
    </xf>
    <xf numFmtId="169" fontId="136" fillId="98" borderId="228" xfId="1" applyNumberFormat="1" applyFont="1" applyFill="1" applyBorder="1" applyAlignment="1">
      <alignment horizontal="center" vertical="center"/>
    </xf>
    <xf numFmtId="0" fontId="9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79" fillId="98" borderId="229" xfId="0" applyFont="1" applyFill="1" applyBorder="1" applyAlignment="1">
      <alignment horizontal="center" vertical="center" wrapText="1"/>
    </xf>
    <xf numFmtId="0" fontId="79" fillId="98" borderId="230" xfId="0" applyFont="1" applyFill="1" applyBorder="1" applyAlignment="1">
      <alignment horizontal="center" vertical="center" wrapText="1"/>
    </xf>
    <xf numFmtId="0" fontId="79" fillId="98" borderId="219" xfId="0" applyFont="1" applyFill="1" applyBorder="1" applyAlignment="1">
      <alignment horizontal="center" vertical="center" wrapText="1"/>
    </xf>
    <xf numFmtId="0" fontId="136" fillId="98" borderId="245" xfId="0" applyFont="1" applyFill="1" applyBorder="1" applyAlignment="1">
      <alignment horizontal="center" vertical="center"/>
    </xf>
    <xf numFmtId="0" fontId="136" fillId="98" borderId="209" xfId="0" applyFont="1" applyFill="1" applyBorder="1" applyAlignment="1">
      <alignment horizontal="center" vertical="center"/>
    </xf>
    <xf numFmtId="0" fontId="136" fillId="98" borderId="234" xfId="0" applyFont="1" applyFill="1" applyBorder="1" applyAlignment="1">
      <alignment horizontal="center" vertical="center"/>
    </xf>
    <xf numFmtId="0" fontId="97" fillId="0" borderId="0" xfId="0" applyFont="1" applyAlignment="1">
      <alignment horizontal="center" wrapText="1"/>
    </xf>
    <xf numFmtId="0" fontId="136" fillId="100" borderId="209" xfId="0" applyFont="1" applyFill="1" applyBorder="1" applyAlignment="1">
      <alignment horizontal="center" vertical="center" wrapText="1"/>
    </xf>
    <xf numFmtId="49" fontId="136" fillId="100" borderId="95" xfId="0" applyNumberFormat="1" applyFont="1" applyFill="1" applyBorder="1" applyAlignment="1">
      <alignment horizontal="center" vertical="center" wrapText="1"/>
    </xf>
    <xf numFmtId="49" fontId="136" fillId="100" borderId="222" xfId="0" applyNumberFormat="1" applyFont="1" applyFill="1" applyBorder="1" applyAlignment="1">
      <alignment horizontal="center" vertical="center" wrapText="1"/>
    </xf>
    <xf numFmtId="0" fontId="92" fillId="0" borderId="0" xfId="0" applyFont="1" applyAlignment="1">
      <alignment horizontal="center" vertical="center"/>
    </xf>
    <xf numFmtId="0" fontId="112" fillId="98" borderId="162" xfId="0" applyFont="1" applyFill="1" applyBorder="1" applyAlignment="1">
      <alignment horizontal="center" vertical="center" wrapText="1"/>
    </xf>
    <xf numFmtId="0" fontId="112" fillId="98" borderId="209" xfId="0" applyFont="1" applyFill="1" applyBorder="1" applyAlignment="1">
      <alignment horizontal="center" vertical="center" wrapText="1"/>
    </xf>
    <xf numFmtId="0" fontId="112" fillId="98" borderId="218" xfId="0" applyFont="1" applyFill="1" applyBorder="1" applyAlignment="1">
      <alignment horizontal="center" vertical="center" wrapText="1"/>
    </xf>
    <xf numFmtId="0" fontId="112" fillId="98" borderId="220" xfId="0" applyFont="1" applyFill="1" applyBorder="1" applyAlignment="1">
      <alignment horizontal="center" vertical="center" wrapText="1"/>
    </xf>
    <xf numFmtId="0" fontId="112" fillId="98" borderId="219" xfId="0" applyFont="1" applyFill="1" applyBorder="1" applyAlignment="1">
      <alignment horizontal="center" vertical="center" wrapText="1"/>
    </xf>
    <xf numFmtId="0" fontId="112" fillId="98" borderId="164" xfId="0" applyFont="1" applyFill="1" applyBorder="1" applyAlignment="1">
      <alignment horizontal="center" vertical="center" wrapText="1"/>
    </xf>
    <xf numFmtId="0" fontId="112" fillId="98" borderId="222" xfId="0" applyFont="1" applyFill="1" applyBorder="1" applyAlignment="1">
      <alignment horizontal="center" vertical="center" wrapText="1"/>
    </xf>
    <xf numFmtId="3" fontId="136" fillId="98" borderId="245" xfId="0" applyNumberFormat="1" applyFont="1" applyFill="1" applyBorder="1" applyAlignment="1">
      <alignment horizontal="left" vertical="center"/>
    </xf>
    <xf numFmtId="3" fontId="136" fillId="98" borderId="212" xfId="0" applyNumberFormat="1" applyFont="1" applyFill="1" applyBorder="1" applyAlignment="1">
      <alignment horizontal="left" vertical="center"/>
    </xf>
    <xf numFmtId="3" fontId="136" fillId="98" borderId="215" xfId="0" applyNumberFormat="1" applyFont="1" applyFill="1" applyBorder="1" applyAlignment="1">
      <alignment horizontal="left" vertical="center"/>
    </xf>
    <xf numFmtId="0" fontId="112" fillId="100" borderId="195" xfId="0" applyFont="1" applyFill="1" applyBorder="1" applyAlignment="1">
      <alignment horizontal="center" vertical="center" wrapText="1"/>
    </xf>
    <xf numFmtId="0" fontId="112" fillId="100" borderId="196" xfId="0" applyFont="1" applyFill="1" applyBorder="1" applyAlignment="1">
      <alignment horizontal="center" vertical="center" wrapText="1"/>
    </xf>
    <xf numFmtId="0" fontId="67" fillId="0" borderId="0" xfId="0" applyFont="1" applyBorder="1" applyAlignment="1">
      <alignment horizontal="left" vertical="center"/>
    </xf>
    <xf numFmtId="0" fontId="79" fillId="98" borderId="162" xfId="0" applyFont="1" applyFill="1" applyBorder="1" applyAlignment="1">
      <alignment horizontal="center" vertical="center" wrapText="1"/>
    </xf>
    <xf numFmtId="0" fontId="79" fillId="98" borderId="234" xfId="0" applyFont="1" applyFill="1" applyBorder="1" applyAlignment="1">
      <alignment horizontal="center" vertical="center" wrapText="1"/>
    </xf>
    <xf numFmtId="0" fontId="79" fillId="98" borderId="168" xfId="0" applyFont="1" applyFill="1" applyBorder="1" applyAlignment="1">
      <alignment horizontal="center" vertical="center" wrapText="1"/>
    </xf>
    <xf numFmtId="0" fontId="79" fillId="98" borderId="243" xfId="0" applyFont="1" applyFill="1" applyBorder="1" applyAlignment="1">
      <alignment horizontal="center" vertical="center" wrapText="1"/>
    </xf>
    <xf numFmtId="0" fontId="112" fillId="98" borderId="212" xfId="0" applyFont="1" applyFill="1" applyBorder="1" applyAlignment="1">
      <alignment horizontal="left" vertical="center" indent="2"/>
    </xf>
    <xf numFmtId="0" fontId="112" fillId="98" borderId="215" xfId="0" applyFont="1" applyFill="1" applyBorder="1" applyAlignment="1">
      <alignment horizontal="left" vertical="center" indent="2"/>
    </xf>
    <xf numFmtId="0" fontId="121" fillId="0" borderId="0" xfId="0" applyFont="1" applyAlignment="1">
      <alignment horizontal="center" vertical="center"/>
    </xf>
    <xf numFmtId="0" fontId="92" fillId="0" borderId="0" xfId="0" applyFont="1" applyAlignment="1">
      <alignment horizontal="center" wrapText="1"/>
    </xf>
    <xf numFmtId="3" fontId="112" fillId="100" borderId="245" xfId="0" applyNumberFormat="1" applyFont="1" applyFill="1" applyBorder="1" applyAlignment="1">
      <alignment horizontal="left" vertical="center"/>
    </xf>
    <xf numFmtId="3" fontId="112" fillId="100" borderId="234" xfId="0" applyNumberFormat="1" applyFont="1" applyFill="1" applyBorder="1" applyAlignment="1">
      <alignment horizontal="left" vertical="center"/>
    </xf>
    <xf numFmtId="0" fontId="79" fillId="100" borderId="220" xfId="2" applyFont="1" applyFill="1" applyBorder="1" applyAlignment="1">
      <alignment horizontal="center" vertical="center" wrapText="1"/>
    </xf>
    <xf numFmtId="0" fontId="79" fillId="100" borderId="243" xfId="2" applyFont="1" applyFill="1" applyBorder="1" applyAlignment="1">
      <alignment horizontal="center" vertical="center" wrapText="1"/>
    </xf>
    <xf numFmtId="0" fontId="79" fillId="100" borderId="167" xfId="2" applyFont="1" applyFill="1" applyBorder="1" applyAlignment="1">
      <alignment horizontal="center" vertical="center"/>
    </xf>
    <xf numFmtId="0" fontId="79" fillId="100" borderId="236" xfId="2" applyFont="1" applyFill="1" applyBorder="1" applyAlignment="1">
      <alignment horizontal="center" vertical="center"/>
    </xf>
    <xf numFmtId="0" fontId="79" fillId="100" borderId="219" xfId="2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/>
    </xf>
    <xf numFmtId="0" fontId="136" fillId="100" borderId="33" xfId="0" applyNumberFormat="1" applyFont="1" applyFill="1" applyBorder="1" applyAlignment="1" applyProtection="1">
      <alignment horizontal="center" vertical="center" textRotation="90" wrapText="1"/>
    </xf>
    <xf numFmtId="0" fontId="136" fillId="100" borderId="1" xfId="0" applyNumberFormat="1" applyFont="1" applyFill="1" applyBorder="1" applyAlignment="1" applyProtection="1">
      <alignment horizontal="center" vertical="center" textRotation="90" wrapText="1"/>
    </xf>
    <xf numFmtId="0" fontId="136" fillId="100" borderId="5" xfId="0" applyNumberFormat="1" applyFont="1" applyFill="1" applyBorder="1" applyAlignment="1" applyProtection="1">
      <alignment horizontal="center" vertical="center" textRotation="90" wrapText="1"/>
    </xf>
    <xf numFmtId="169" fontId="136" fillId="100" borderId="40" xfId="0" applyNumberFormat="1" applyFont="1" applyFill="1" applyBorder="1" applyAlignment="1" applyProtection="1">
      <alignment horizontal="center" vertical="center" textRotation="90" wrapText="1"/>
    </xf>
    <xf numFmtId="169" fontId="136" fillId="100" borderId="86" xfId="0" applyNumberFormat="1" applyFont="1" applyFill="1" applyBorder="1" applyAlignment="1" applyProtection="1">
      <alignment horizontal="center" vertical="center" textRotation="90" wrapText="1"/>
    </xf>
    <xf numFmtId="169" fontId="136" fillId="100" borderId="83" xfId="0" applyNumberFormat="1" applyFont="1" applyFill="1" applyBorder="1" applyAlignment="1" applyProtection="1">
      <alignment horizontal="center" vertical="center" textRotation="90" wrapText="1"/>
    </xf>
    <xf numFmtId="0" fontId="136" fillId="100" borderId="1" xfId="0" applyNumberFormat="1" applyFont="1" applyFill="1" applyBorder="1" applyAlignment="1">
      <alignment horizontal="center" vertical="center" wrapText="1"/>
    </xf>
    <xf numFmtId="0" fontId="152" fillId="100" borderId="524" xfId="0" applyNumberFormat="1" applyFont="1" applyFill="1" applyBorder="1" applyAlignment="1">
      <alignment horizontal="left" vertical="center"/>
    </xf>
    <xf numFmtId="0" fontId="152" fillId="100" borderId="122" xfId="0" applyNumberFormat="1" applyFont="1" applyFill="1" applyBorder="1" applyAlignment="1">
      <alignment horizontal="left" vertical="center"/>
    </xf>
    <xf numFmtId="0" fontId="152" fillId="100" borderId="66" xfId="0" applyNumberFormat="1" applyFont="1" applyFill="1" applyBorder="1" applyAlignment="1">
      <alignment horizontal="left" vertical="center"/>
    </xf>
    <xf numFmtId="169" fontId="152" fillId="100" borderId="48" xfId="1" applyNumberFormat="1" applyFont="1" applyFill="1" applyBorder="1" applyAlignment="1">
      <alignment horizontal="center" vertical="center"/>
    </xf>
    <xf numFmtId="169" fontId="152" fillId="100" borderId="80" xfId="1" applyNumberFormat="1" applyFont="1" applyFill="1" applyBorder="1" applyAlignment="1">
      <alignment horizontal="center" vertical="center"/>
    </xf>
    <xf numFmtId="169" fontId="152" fillId="100" borderId="55" xfId="1" applyNumberFormat="1" applyFont="1" applyFill="1" applyBorder="1" applyAlignment="1">
      <alignment horizontal="center" vertical="center"/>
    </xf>
    <xf numFmtId="169" fontId="152" fillId="100" borderId="57" xfId="1" applyNumberFormat="1" applyFont="1" applyFill="1" applyBorder="1" applyAlignment="1">
      <alignment horizontal="center" vertical="center"/>
    </xf>
    <xf numFmtId="169" fontId="152" fillId="100" borderId="56" xfId="1" applyNumberFormat="1" applyFont="1" applyFill="1" applyBorder="1" applyAlignment="1">
      <alignment horizontal="center" vertical="center"/>
    </xf>
    <xf numFmtId="0" fontId="77" fillId="0" borderId="0" xfId="0" applyNumberFormat="1" applyFont="1" applyFill="1" applyBorder="1" applyAlignment="1">
      <alignment horizontal="center"/>
    </xf>
    <xf numFmtId="0" fontId="136" fillId="100" borderId="39" xfId="0" applyNumberFormat="1" applyFont="1" applyFill="1" applyBorder="1" applyAlignment="1" applyProtection="1">
      <alignment horizontal="center" vertical="center" wrapText="1"/>
    </xf>
    <xf numFmtId="0" fontId="136" fillId="100" borderId="54" xfId="0" applyNumberFormat="1" applyFont="1" applyFill="1" applyBorder="1" applyAlignment="1" applyProtection="1">
      <alignment horizontal="center" vertical="center" wrapText="1"/>
    </xf>
    <xf numFmtId="0" fontId="136" fillId="100" borderId="82" xfId="0" applyNumberFormat="1" applyFont="1" applyFill="1" applyBorder="1" applyAlignment="1" applyProtection="1">
      <alignment horizontal="center" vertical="center" wrapText="1"/>
    </xf>
    <xf numFmtId="0" fontId="136" fillId="100" borderId="33" xfId="0" applyNumberFormat="1" applyFont="1" applyFill="1" applyBorder="1" applyAlignment="1">
      <alignment horizontal="center" vertical="center" textRotation="90" wrapText="1"/>
    </xf>
    <xf numFmtId="0" fontId="136" fillId="100" borderId="1" xfId="0" applyNumberFormat="1" applyFont="1" applyFill="1" applyBorder="1" applyAlignment="1">
      <alignment horizontal="center" vertical="center" textRotation="90" wrapText="1"/>
    </xf>
    <xf numFmtId="0" fontId="136" fillId="100" borderId="5" xfId="0" applyNumberFormat="1" applyFont="1" applyFill="1" applyBorder="1" applyAlignment="1">
      <alignment horizontal="center" vertical="center" textRotation="90" wrapText="1"/>
    </xf>
    <xf numFmtId="0" fontId="136" fillId="100" borderId="33" xfId="0" applyNumberFormat="1" applyFont="1" applyFill="1" applyBorder="1" applyAlignment="1" applyProtection="1">
      <alignment horizontal="center" vertical="center" wrapText="1"/>
    </xf>
    <xf numFmtId="0" fontId="136" fillId="100" borderId="1" xfId="0" applyNumberFormat="1" applyFont="1" applyFill="1" applyBorder="1" applyAlignment="1" applyProtection="1">
      <alignment horizontal="center" vertical="center" wrapText="1"/>
    </xf>
    <xf numFmtId="0" fontId="194" fillId="100" borderId="39" xfId="0" applyNumberFormat="1" applyFont="1" applyFill="1" applyBorder="1" applyAlignment="1" applyProtection="1">
      <alignment horizontal="center" vertical="center" wrapText="1"/>
    </xf>
    <xf numFmtId="0" fontId="194" fillId="100" borderId="54" xfId="0" applyNumberFormat="1" applyFont="1" applyFill="1" applyBorder="1" applyAlignment="1" applyProtection="1">
      <alignment horizontal="center" vertical="center" wrapText="1"/>
    </xf>
    <xf numFmtId="0" fontId="194" fillId="100" borderId="82" xfId="0" applyNumberFormat="1" applyFont="1" applyFill="1" applyBorder="1" applyAlignment="1" applyProtection="1">
      <alignment horizontal="center" vertical="center" wrapText="1"/>
    </xf>
    <xf numFmtId="0" fontId="194" fillId="100" borderId="33" xfId="0" applyNumberFormat="1" applyFont="1" applyFill="1" applyBorder="1" applyAlignment="1">
      <alignment horizontal="center" vertical="center" textRotation="90" wrapText="1"/>
    </xf>
    <xf numFmtId="0" fontId="194" fillId="100" borderId="1" xfId="0" applyNumberFormat="1" applyFont="1" applyFill="1" applyBorder="1" applyAlignment="1">
      <alignment horizontal="center" vertical="center" textRotation="90" wrapText="1"/>
    </xf>
    <xf numFmtId="0" fontId="194" fillId="100" borderId="5" xfId="0" applyNumberFormat="1" applyFont="1" applyFill="1" applyBorder="1" applyAlignment="1">
      <alignment horizontal="center" vertical="center" textRotation="90" wrapText="1"/>
    </xf>
    <xf numFmtId="0" fontId="194" fillId="100" borderId="33" xfId="0" applyNumberFormat="1" applyFont="1" applyFill="1" applyBorder="1" applyAlignment="1" applyProtection="1">
      <alignment horizontal="center" vertical="center" wrapText="1"/>
    </xf>
    <xf numFmtId="0" fontId="194" fillId="100" borderId="1" xfId="0" applyNumberFormat="1" applyFont="1" applyFill="1" applyBorder="1" applyAlignment="1" applyProtection="1">
      <alignment horizontal="center" vertical="center" wrapText="1"/>
    </xf>
    <xf numFmtId="0" fontId="194" fillId="100" borderId="33" xfId="0" applyNumberFormat="1" applyFont="1" applyFill="1" applyBorder="1" applyAlignment="1" applyProtection="1">
      <alignment horizontal="center" vertical="center" textRotation="90" wrapText="1"/>
    </xf>
    <xf numFmtId="0" fontId="194" fillId="100" borderId="1" xfId="0" applyNumberFormat="1" applyFont="1" applyFill="1" applyBorder="1" applyAlignment="1" applyProtection="1">
      <alignment horizontal="center" vertical="center" textRotation="90" wrapText="1"/>
    </xf>
    <xf numFmtId="0" fontId="194" fillId="100" borderId="5" xfId="0" applyNumberFormat="1" applyFont="1" applyFill="1" applyBorder="1" applyAlignment="1" applyProtection="1">
      <alignment horizontal="center" vertical="center" textRotation="90" wrapText="1"/>
    </xf>
    <xf numFmtId="169" fontId="194" fillId="100" borderId="40" xfId="0" applyNumberFormat="1" applyFont="1" applyFill="1" applyBorder="1" applyAlignment="1" applyProtection="1">
      <alignment horizontal="center" vertical="center" textRotation="90" wrapText="1"/>
    </xf>
    <xf numFmtId="169" fontId="194" fillId="100" borderId="86" xfId="0" applyNumberFormat="1" applyFont="1" applyFill="1" applyBorder="1" applyAlignment="1" applyProtection="1">
      <alignment horizontal="center" vertical="center" textRotation="90" wrapText="1"/>
    </xf>
    <xf numFmtId="169" fontId="194" fillId="100" borderId="83" xfId="0" applyNumberFormat="1" applyFont="1" applyFill="1" applyBorder="1" applyAlignment="1" applyProtection="1">
      <alignment horizontal="center" vertical="center" textRotation="90" wrapText="1"/>
    </xf>
    <xf numFmtId="0" fontId="194" fillId="100" borderId="1" xfId="0" applyNumberFormat="1" applyFont="1" applyFill="1" applyBorder="1" applyAlignment="1">
      <alignment horizontal="center" vertical="center" wrapText="1"/>
    </xf>
    <xf numFmtId="0" fontId="148" fillId="100" borderId="33" xfId="0" applyNumberFormat="1" applyFont="1" applyFill="1" applyBorder="1" applyAlignment="1">
      <alignment horizontal="center" vertical="center" textRotation="90" wrapText="1"/>
    </xf>
    <xf numFmtId="0" fontId="148" fillId="100" borderId="1" xfId="0" applyNumberFormat="1" applyFont="1" applyFill="1" applyBorder="1" applyAlignment="1">
      <alignment horizontal="center" vertical="center" textRotation="90" wrapText="1"/>
    </xf>
    <xf numFmtId="0" fontId="148" fillId="100" borderId="5" xfId="0" applyNumberFormat="1" applyFont="1" applyFill="1" applyBorder="1" applyAlignment="1">
      <alignment horizontal="center" vertical="center" textRotation="90" wrapText="1"/>
    </xf>
    <xf numFmtId="0" fontId="148" fillId="100" borderId="33" xfId="0" applyNumberFormat="1" applyFont="1" applyFill="1" applyBorder="1" applyAlignment="1" applyProtection="1">
      <alignment horizontal="center" vertical="center" textRotation="90" wrapText="1"/>
    </xf>
    <xf numFmtId="0" fontId="148" fillId="100" borderId="1" xfId="0" applyNumberFormat="1" applyFont="1" applyFill="1" applyBorder="1" applyAlignment="1" applyProtection="1">
      <alignment horizontal="center" vertical="center" textRotation="90" wrapText="1"/>
    </xf>
    <xf numFmtId="0" fontId="148" fillId="100" borderId="5" xfId="0" applyNumberFormat="1" applyFont="1" applyFill="1" applyBorder="1" applyAlignment="1" applyProtection="1">
      <alignment horizontal="center" vertical="center" textRotation="90" wrapText="1"/>
    </xf>
    <xf numFmtId="169" fontId="148" fillId="100" borderId="40" xfId="0" applyNumberFormat="1" applyFont="1" applyFill="1" applyBorder="1" applyAlignment="1" applyProtection="1">
      <alignment horizontal="center" vertical="center" textRotation="90" wrapText="1"/>
    </xf>
    <xf numFmtId="169" fontId="148" fillId="100" borderId="86" xfId="0" applyNumberFormat="1" applyFont="1" applyFill="1" applyBorder="1" applyAlignment="1" applyProtection="1">
      <alignment horizontal="center" vertical="center" textRotation="90" wrapText="1"/>
    </xf>
    <xf numFmtId="169" fontId="148" fillId="100" borderId="83" xfId="0" applyNumberFormat="1" applyFont="1" applyFill="1" applyBorder="1" applyAlignment="1" applyProtection="1">
      <alignment horizontal="center" vertical="center" textRotation="90" wrapText="1"/>
    </xf>
    <xf numFmtId="0" fontId="69" fillId="0" borderId="0" xfId="0" applyNumberFormat="1" applyFont="1" applyFill="1" applyBorder="1" applyAlignment="1" applyProtection="1">
      <alignment horizontal="center" vertical="top" wrapText="1"/>
    </xf>
    <xf numFmtId="0" fontId="148" fillId="100" borderId="39" xfId="0" applyNumberFormat="1" applyFont="1" applyFill="1" applyBorder="1" applyAlignment="1" applyProtection="1">
      <alignment horizontal="center" vertical="center" wrapText="1"/>
    </xf>
    <xf numFmtId="0" fontId="148" fillId="100" borderId="54" xfId="0" applyNumberFormat="1" applyFont="1" applyFill="1" applyBorder="1" applyAlignment="1" applyProtection="1">
      <alignment horizontal="center" vertical="center" wrapText="1"/>
    </xf>
    <xf numFmtId="0" fontId="148" fillId="100" borderId="82" xfId="0" applyNumberFormat="1" applyFont="1" applyFill="1" applyBorder="1" applyAlignment="1" applyProtection="1">
      <alignment horizontal="center" vertical="center" wrapText="1"/>
    </xf>
    <xf numFmtId="0" fontId="148" fillId="100" borderId="33" xfId="0" applyNumberFormat="1" applyFont="1" applyFill="1" applyBorder="1" applyAlignment="1" applyProtection="1">
      <alignment horizontal="center" vertical="center" wrapText="1"/>
    </xf>
    <xf numFmtId="0" fontId="148" fillId="100" borderId="1" xfId="0" applyNumberFormat="1" applyFont="1" applyFill="1" applyBorder="1" applyAlignment="1" applyProtection="1">
      <alignment horizontal="center" vertical="center" wrapText="1"/>
    </xf>
    <xf numFmtId="0" fontId="148" fillId="100" borderId="1" xfId="0" applyNumberFormat="1" applyFont="1" applyFill="1" applyBorder="1" applyAlignment="1">
      <alignment horizontal="center" vertical="center" wrapText="1"/>
    </xf>
    <xf numFmtId="169" fontId="63" fillId="3" borderId="0" xfId="0" applyNumberFormat="1" applyFont="1" applyFill="1" applyBorder="1" applyAlignment="1" applyProtection="1">
      <alignment horizontal="center" vertical="center" textRotation="90" wrapText="1"/>
    </xf>
    <xf numFmtId="0" fontId="69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151" fillId="0" borderId="0" xfId="0" applyNumberFormat="1" applyFont="1" applyFill="1" applyBorder="1" applyAlignment="1">
      <alignment horizontal="center" vertical="center"/>
    </xf>
    <xf numFmtId="0" fontId="152" fillId="100" borderId="63" xfId="0" applyNumberFormat="1" applyFont="1" applyFill="1" applyBorder="1" applyAlignment="1">
      <alignment horizontal="left" vertical="center"/>
    </xf>
    <xf numFmtId="169" fontId="170" fillId="111" borderId="483" xfId="0" applyNumberFormat="1" applyFont="1" applyFill="1" applyBorder="1" applyAlignment="1">
      <alignment horizontal="center" vertical="center"/>
    </xf>
    <xf numFmtId="0" fontId="161" fillId="0" borderId="484" xfId="0" applyFont="1" applyBorder="1" applyAlignment="1">
      <alignment horizontal="center" vertical="center"/>
    </xf>
    <xf numFmtId="0" fontId="161" fillId="0" borderId="485" xfId="0" applyFont="1" applyBorder="1" applyAlignment="1">
      <alignment horizontal="center" vertical="center"/>
    </xf>
    <xf numFmtId="0" fontId="161" fillId="0" borderId="490" xfId="0" applyFont="1" applyBorder="1" applyAlignment="1">
      <alignment horizontal="center" vertical="center"/>
    </xf>
    <xf numFmtId="0" fontId="136" fillId="111" borderId="493" xfId="0" applyFont="1" applyFill="1" applyBorder="1" applyAlignment="1">
      <alignment horizontal="center" vertical="center"/>
    </xf>
    <xf numFmtId="0" fontId="161" fillId="0" borderId="493" xfId="0" applyFont="1" applyBorder="1"/>
    <xf numFmtId="0" fontId="161" fillId="0" borderId="494" xfId="0" applyFont="1" applyBorder="1"/>
    <xf numFmtId="0" fontId="153" fillId="0" borderId="0" xfId="0" applyFont="1" applyAlignment="1">
      <alignment horizontal="center"/>
    </xf>
    <xf numFmtId="0" fontId="160" fillId="111" borderId="468" xfId="0" applyFont="1" applyFill="1" applyBorder="1" applyAlignment="1">
      <alignment horizontal="center" vertical="center" wrapText="1"/>
    </xf>
    <xf numFmtId="0" fontId="161" fillId="0" borderId="472" xfId="0" applyFont="1" applyBorder="1"/>
    <xf numFmtId="0" fontId="170" fillId="111" borderId="476" xfId="0" applyFont="1" applyFill="1" applyBorder="1" applyAlignment="1">
      <alignment horizontal="left" vertical="center"/>
    </xf>
    <xf numFmtId="0" fontId="136" fillId="111" borderId="469" xfId="0" applyFont="1" applyFill="1" applyBorder="1" applyAlignment="1">
      <alignment horizontal="center" vertical="center"/>
    </xf>
    <xf numFmtId="0" fontId="161" fillId="0" borderId="470" xfId="0" applyFont="1" applyBorder="1"/>
    <xf numFmtId="0" fontId="161" fillId="0" borderId="471" xfId="0" applyFont="1" applyBorder="1"/>
    <xf numFmtId="0" fontId="160" fillId="111" borderId="469" xfId="0" applyFont="1" applyFill="1" applyBorder="1" applyAlignment="1">
      <alignment horizontal="center" vertical="center"/>
    </xf>
    <xf numFmtId="0" fontId="161" fillId="0" borderId="486" xfId="0" applyFont="1" applyBorder="1"/>
    <xf numFmtId="0" fontId="158" fillId="0" borderId="0" xfId="0" applyFont="1" applyAlignment="1">
      <alignment horizontal="center" wrapText="1"/>
    </xf>
    <xf numFmtId="0" fontId="154" fillId="100" borderId="117" xfId="0" applyFont="1" applyFill="1" applyBorder="1" applyAlignment="1">
      <alignment horizontal="center" vertical="center" wrapText="1" readingOrder="1"/>
    </xf>
    <xf numFmtId="0" fontId="154" fillId="100" borderId="118" xfId="0" applyFont="1" applyFill="1" applyBorder="1" applyAlignment="1">
      <alignment horizontal="center" vertical="center" wrapText="1" readingOrder="1"/>
    </xf>
    <xf numFmtId="0" fontId="154" fillId="100" borderId="414" xfId="0" applyFont="1" applyFill="1" applyBorder="1" applyAlignment="1">
      <alignment horizontal="center" vertical="center" wrapText="1" readingOrder="1"/>
    </xf>
    <xf numFmtId="0" fontId="154" fillId="100" borderId="353" xfId="0" applyFont="1" applyFill="1" applyBorder="1" applyAlignment="1">
      <alignment horizontal="center" vertical="center" wrapText="1" readingOrder="1"/>
    </xf>
    <xf numFmtId="3" fontId="148" fillId="100" borderId="121" xfId="0" applyNumberFormat="1" applyFont="1" applyFill="1" applyBorder="1" applyAlignment="1">
      <alignment horizontal="left" vertical="center" wrapText="1"/>
    </xf>
    <xf numFmtId="3" fontId="148" fillId="100" borderId="105" xfId="0" applyNumberFormat="1" applyFont="1" applyFill="1" applyBorder="1" applyAlignment="1">
      <alignment horizontal="left" vertical="center" wrapText="1"/>
    </xf>
    <xf numFmtId="169" fontId="148" fillId="100" borderId="62" xfId="1" applyNumberFormat="1" applyFont="1" applyFill="1" applyBorder="1" applyAlignment="1">
      <alignment horizontal="center" vertical="center" wrapText="1" readingOrder="1"/>
    </xf>
    <xf numFmtId="169" fontId="148" fillId="100" borderId="434" xfId="1" applyNumberFormat="1" applyFont="1" applyFill="1" applyBorder="1" applyAlignment="1">
      <alignment horizontal="center" vertical="center" wrapText="1" readingOrder="1"/>
    </xf>
    <xf numFmtId="169" fontId="148" fillId="100" borderId="435" xfId="1" applyNumberFormat="1" applyFont="1" applyFill="1" applyBorder="1" applyAlignment="1">
      <alignment horizontal="center" vertical="center" wrapText="1" readingOrder="1"/>
    </xf>
    <xf numFmtId="169" fontId="148" fillId="100" borderId="436" xfId="1" applyNumberFormat="1" applyFont="1" applyFill="1" applyBorder="1" applyAlignment="1">
      <alignment horizontal="center" vertical="center" wrapText="1" readingOrder="1"/>
    </xf>
    <xf numFmtId="0" fontId="154" fillId="100" borderId="50" xfId="0" applyFont="1" applyFill="1" applyBorder="1" applyAlignment="1">
      <alignment horizontal="center" vertical="center" wrapText="1" readingOrder="1"/>
    </xf>
    <xf numFmtId="0" fontId="154" fillId="100" borderId="98" xfId="0" applyFont="1" applyFill="1" applyBorder="1" applyAlignment="1">
      <alignment horizontal="center" vertical="center" wrapText="1" readingOrder="1"/>
    </xf>
    <xf numFmtId="0" fontId="154" fillId="100" borderId="51" xfId="0" applyFont="1" applyFill="1" applyBorder="1" applyAlignment="1">
      <alignment horizontal="center" vertical="center" wrapText="1" readingOrder="1"/>
    </xf>
    <xf numFmtId="3" fontId="112" fillId="100" borderId="236" xfId="2" applyNumberFormat="1" applyFont="1" applyFill="1" applyBorder="1" applyAlignment="1">
      <alignment horizontal="left" vertical="center"/>
    </xf>
    <xf numFmtId="3" fontId="112" fillId="100" borderId="215" xfId="2" applyNumberFormat="1" applyFont="1" applyFill="1" applyBorder="1" applyAlignment="1">
      <alignment horizontal="left" vertical="center"/>
    </xf>
    <xf numFmtId="0" fontId="96" fillId="0" borderId="0" xfId="0" applyFont="1" applyAlignment="1">
      <alignment horizontal="center" wrapText="1"/>
    </xf>
    <xf numFmtId="0" fontId="199" fillId="100" borderId="49" xfId="0" applyFont="1" applyFill="1" applyBorder="1" applyAlignment="1">
      <alignment horizontal="center" vertical="center" wrapText="1" readingOrder="1"/>
    </xf>
    <xf numFmtId="0" fontId="199" fillId="100" borderId="52" xfId="0" applyFont="1" applyFill="1" applyBorder="1" applyAlignment="1">
      <alignment horizontal="center" vertical="center" wrapText="1" readingOrder="1"/>
    </xf>
    <xf numFmtId="0" fontId="199" fillId="100" borderId="50" xfId="0" applyFont="1" applyFill="1" applyBorder="1" applyAlignment="1">
      <alignment horizontal="center" vertical="center" wrapText="1" readingOrder="1"/>
    </xf>
    <xf numFmtId="0" fontId="199" fillId="100" borderId="98" xfId="0" applyFont="1" applyFill="1" applyBorder="1" applyAlignment="1">
      <alignment horizontal="center" vertical="center" wrapText="1" readingOrder="1"/>
    </xf>
    <xf numFmtId="0" fontId="199" fillId="100" borderId="51" xfId="0" applyFont="1" applyFill="1" applyBorder="1" applyAlignment="1">
      <alignment horizontal="center" vertical="center" wrapText="1" readingOrder="1"/>
    </xf>
    <xf numFmtId="0" fontId="199" fillId="100" borderId="414" xfId="0" applyFont="1" applyFill="1" applyBorder="1" applyAlignment="1">
      <alignment horizontal="center" vertical="center" wrapText="1" readingOrder="1"/>
    </xf>
    <xf numFmtId="0" fontId="199" fillId="100" borderId="353" xfId="0" applyFont="1" applyFill="1" applyBorder="1" applyAlignment="1">
      <alignment horizontal="center" vertical="center" wrapText="1" readingOrder="1"/>
    </xf>
    <xf numFmtId="0" fontId="108" fillId="0" borderId="448" xfId="0" applyFont="1" applyBorder="1" applyAlignment="1">
      <alignment horizontal="center"/>
    </xf>
    <xf numFmtId="0" fontId="199" fillId="100" borderId="117" xfId="0" applyFont="1" applyFill="1" applyBorder="1" applyAlignment="1">
      <alignment horizontal="center" vertical="center" wrapText="1" readingOrder="1"/>
    </xf>
    <xf numFmtId="0" fontId="199" fillId="100" borderId="118" xfId="0" applyFont="1" applyFill="1" applyBorder="1" applyAlignment="1">
      <alignment horizontal="center" vertical="center" wrapText="1" readingOrder="1"/>
    </xf>
    <xf numFmtId="0" fontId="148" fillId="98" borderId="256" xfId="0" applyFont="1" applyFill="1" applyBorder="1" applyAlignment="1">
      <alignment horizontal="left" vertical="center"/>
    </xf>
    <xf numFmtId="0" fontId="148" fillId="98" borderId="258" xfId="0" applyFont="1" applyFill="1" applyBorder="1" applyAlignment="1">
      <alignment horizontal="left" vertical="center"/>
    </xf>
    <xf numFmtId="0" fontId="108" fillId="0" borderId="0" xfId="0" applyFont="1" applyAlignment="1">
      <alignment horizontal="center" vertical="center" wrapText="1"/>
    </xf>
    <xf numFmtId="0" fontId="109" fillId="98" borderId="249" xfId="0" applyFont="1" applyFill="1" applyBorder="1" applyAlignment="1">
      <alignment horizontal="center" vertical="center" wrapText="1"/>
    </xf>
    <xf numFmtId="0" fontId="109" fillId="98" borderId="251" xfId="0" applyFont="1" applyFill="1" applyBorder="1" applyAlignment="1">
      <alignment horizontal="center" vertical="center" wrapText="1"/>
    </xf>
    <xf numFmtId="0" fontId="109" fillId="98" borderId="250" xfId="0" applyFont="1" applyFill="1" applyBorder="1" applyAlignment="1">
      <alignment horizontal="center" vertical="center" wrapText="1"/>
    </xf>
    <xf numFmtId="0" fontId="109" fillId="98" borderId="247" xfId="0" applyFont="1" applyFill="1" applyBorder="1" applyAlignment="1">
      <alignment horizontal="center" vertical="center" wrapText="1"/>
    </xf>
    <xf numFmtId="0" fontId="109" fillId="98" borderId="281" xfId="0" applyFont="1" applyFill="1" applyBorder="1" applyAlignment="1">
      <alignment horizontal="center" vertical="center" wrapText="1"/>
    </xf>
    <xf numFmtId="0" fontId="109" fillId="98" borderId="432" xfId="0" applyFont="1" applyFill="1" applyBorder="1" applyAlignment="1">
      <alignment horizontal="center" vertical="center" wrapText="1"/>
    </xf>
    <xf numFmtId="3" fontId="194" fillId="100" borderId="121" xfId="0" applyNumberFormat="1" applyFont="1" applyFill="1" applyBorder="1" applyAlignment="1">
      <alignment horizontal="center" vertical="center" wrapText="1"/>
    </xf>
    <xf numFmtId="3" fontId="194" fillId="100" borderId="105" xfId="0" applyNumberFormat="1" applyFont="1" applyFill="1" applyBorder="1" applyAlignment="1">
      <alignment horizontal="center" vertical="center" wrapText="1"/>
    </xf>
    <xf numFmtId="169" fontId="194" fillId="100" borderId="62" xfId="1" applyNumberFormat="1" applyFont="1" applyFill="1" applyBorder="1" applyAlignment="1">
      <alignment horizontal="center" vertical="center" wrapText="1" readingOrder="1"/>
    </xf>
    <xf numFmtId="169" fontId="194" fillId="100" borderId="434" xfId="1" applyNumberFormat="1" applyFont="1" applyFill="1" applyBorder="1" applyAlignment="1">
      <alignment horizontal="center" vertical="center" wrapText="1" readingOrder="1"/>
    </xf>
    <xf numFmtId="169" fontId="194" fillId="100" borderId="435" xfId="1" applyNumberFormat="1" applyFont="1" applyFill="1" applyBorder="1" applyAlignment="1">
      <alignment horizontal="center" vertical="center" wrapText="1" readingOrder="1"/>
    </xf>
    <xf numFmtId="169" fontId="194" fillId="100" borderId="436" xfId="1" applyNumberFormat="1" applyFont="1" applyFill="1" applyBorder="1" applyAlignment="1">
      <alignment horizontal="center" vertical="center" wrapText="1" readingOrder="1"/>
    </xf>
    <xf numFmtId="0" fontId="79" fillId="98" borderId="250" xfId="0" applyFont="1" applyFill="1" applyBorder="1" applyAlignment="1">
      <alignment horizontal="center" vertical="center" wrapText="1"/>
    </xf>
    <xf numFmtId="0" fontId="109" fillId="98" borderId="280" xfId="0" applyFont="1" applyFill="1" applyBorder="1" applyAlignment="1">
      <alignment horizontal="center" vertical="center" wrapText="1"/>
    </xf>
    <xf numFmtId="0" fontId="109" fillId="98" borderId="285" xfId="0" applyFont="1" applyFill="1" applyBorder="1" applyAlignment="1">
      <alignment horizontal="center" vertical="center" wrapText="1"/>
    </xf>
    <xf numFmtId="0" fontId="154" fillId="100" borderId="49" xfId="0" applyFont="1" applyFill="1" applyBorder="1" applyAlignment="1">
      <alignment horizontal="center" vertical="center" wrapText="1" readingOrder="1"/>
    </xf>
    <xf numFmtId="0" fontId="154" fillId="100" borderId="52" xfId="0" applyFont="1" applyFill="1" applyBorder="1" applyAlignment="1">
      <alignment horizontal="center" vertical="center" wrapText="1" readingOrder="1"/>
    </xf>
    <xf numFmtId="0" fontId="66" fillId="0" borderId="0" xfId="0" applyFont="1" applyAlignment="1">
      <alignment horizontal="center"/>
    </xf>
    <xf numFmtId="0" fontId="136" fillId="98" borderId="263" xfId="0" applyFont="1" applyFill="1" applyBorder="1" applyAlignment="1">
      <alignment horizontal="center" vertical="center"/>
    </xf>
    <xf numFmtId="0" fontId="136" fillId="98" borderId="404" xfId="0" applyFont="1" applyFill="1" applyBorder="1" applyAlignment="1">
      <alignment horizontal="center" vertical="center"/>
    </xf>
    <xf numFmtId="0" fontId="136" fillId="98" borderId="279" xfId="0" applyFont="1" applyFill="1" applyBorder="1" applyAlignment="1">
      <alignment horizontal="center" vertical="center" wrapText="1"/>
    </xf>
    <xf numFmtId="0" fontId="136" fillId="98" borderId="272" xfId="0" applyFont="1" applyFill="1" applyBorder="1" applyAlignment="1">
      <alignment horizontal="center" vertical="center"/>
    </xf>
    <xf numFmtId="0" fontId="96" fillId="0" borderId="0" xfId="0" applyFont="1" applyBorder="1" applyAlignment="1">
      <alignment horizontal="center"/>
    </xf>
    <xf numFmtId="0" fontId="136" fillId="100" borderId="164" xfId="0" applyFont="1" applyFill="1" applyBorder="1" applyAlignment="1">
      <alignment horizontal="center" vertical="center" wrapText="1"/>
    </xf>
    <xf numFmtId="0" fontId="136" fillId="100" borderId="222" xfId="0" applyFont="1" applyFill="1" applyBorder="1" applyAlignment="1">
      <alignment horizontal="center" vertical="center" wrapText="1"/>
    </xf>
    <xf numFmtId="0" fontId="148" fillId="100" borderId="212" xfId="0" applyFont="1" applyFill="1" applyBorder="1" applyAlignment="1">
      <alignment horizontal="left" vertical="center" indent="1"/>
    </xf>
    <xf numFmtId="0" fontId="148" fillId="100" borderId="209" xfId="0" applyFont="1" applyFill="1" applyBorder="1" applyAlignment="1">
      <alignment horizontal="left" vertical="center" indent="1"/>
    </xf>
    <xf numFmtId="0" fontId="148" fillId="100" borderId="215" xfId="0" applyFont="1" applyFill="1" applyBorder="1" applyAlignment="1">
      <alignment horizontal="left" vertical="center" indent="1"/>
    </xf>
    <xf numFmtId="0" fontId="136" fillId="100" borderId="229" xfId="0" applyFont="1" applyFill="1" applyBorder="1" applyAlignment="1">
      <alignment horizontal="center" vertical="center" wrapText="1"/>
    </xf>
    <xf numFmtId="0" fontId="136" fillId="100" borderId="230" xfId="0" applyFont="1" applyFill="1" applyBorder="1" applyAlignment="1">
      <alignment horizontal="center" vertical="center" wrapText="1"/>
    </xf>
    <xf numFmtId="0" fontId="136" fillId="100" borderId="218" xfId="0" applyFont="1" applyFill="1" applyBorder="1" applyAlignment="1">
      <alignment horizontal="center" vertical="center" wrapText="1"/>
    </xf>
    <xf numFmtId="0" fontId="136" fillId="100" borderId="220" xfId="0" applyFont="1" applyFill="1" applyBorder="1" applyAlignment="1">
      <alignment horizontal="center" vertical="center" wrapText="1"/>
    </xf>
    <xf numFmtId="0" fontId="136" fillId="100" borderId="219" xfId="0" applyFont="1" applyFill="1" applyBorder="1" applyAlignment="1">
      <alignment horizontal="center" vertical="center" wrapText="1"/>
    </xf>
    <xf numFmtId="0" fontId="136" fillId="100" borderId="168" xfId="0" applyFont="1" applyFill="1" applyBorder="1" applyAlignment="1">
      <alignment horizontal="center" vertical="center" wrapText="1"/>
    </xf>
    <xf numFmtId="0" fontId="136" fillId="100" borderId="163" xfId="0" applyFont="1" applyFill="1" applyBorder="1" applyAlignment="1">
      <alignment horizontal="center" vertical="center" wrapText="1"/>
    </xf>
    <xf numFmtId="0" fontId="136" fillId="100" borderId="95" xfId="0" applyFont="1" applyFill="1" applyBorder="1" applyAlignment="1">
      <alignment horizontal="center" vertical="center" wrapText="1"/>
    </xf>
    <xf numFmtId="169" fontId="148" fillId="100" borderId="216" xfId="1" applyNumberFormat="1" applyFont="1" applyFill="1" applyBorder="1" applyAlignment="1">
      <alignment horizontal="center" vertical="center"/>
    </xf>
    <xf numFmtId="169" fontId="148" fillId="98" borderId="315" xfId="1" applyNumberFormat="1" applyFont="1" applyFill="1" applyBorder="1" applyAlignment="1">
      <alignment horizontal="center" vertical="center"/>
    </xf>
    <xf numFmtId="169" fontId="148" fillId="98" borderId="316" xfId="1" applyNumberFormat="1" applyFont="1" applyFill="1" applyBorder="1" applyAlignment="1">
      <alignment horizontal="center" vertical="center"/>
    </xf>
    <xf numFmtId="169" fontId="148" fillId="98" borderId="259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169" fontId="136" fillId="98" borderId="34" xfId="1" applyNumberFormat="1" applyFont="1" applyFill="1" applyBorder="1" applyAlignment="1">
      <alignment horizontal="center" vertical="center" wrapText="1" readingOrder="1"/>
    </xf>
    <xf numFmtId="169" fontId="136" fillId="98" borderId="42" xfId="1" applyNumberFormat="1" applyFont="1" applyFill="1" applyBorder="1" applyAlignment="1">
      <alignment horizontal="center" vertical="center" wrapText="1" readingOrder="1"/>
    </xf>
    <xf numFmtId="169" fontId="136" fillId="95" borderId="156" xfId="1" applyNumberFormat="1" applyFont="1" applyFill="1" applyBorder="1" applyAlignment="1">
      <alignment horizontal="center" vertical="center" wrapText="1" readingOrder="1"/>
    </xf>
    <xf numFmtId="169" fontId="136" fillId="95" borderId="157" xfId="1" applyNumberFormat="1" applyFont="1" applyFill="1" applyBorder="1" applyAlignment="1">
      <alignment horizontal="center" vertical="center" wrapText="1" readingOrder="1"/>
    </xf>
    <xf numFmtId="169" fontId="136" fillId="95" borderId="405" xfId="1" applyNumberFormat="1" applyFont="1" applyFill="1" applyBorder="1" applyAlignment="1">
      <alignment horizontal="center" vertical="center" wrapText="1" readingOrder="1"/>
    </xf>
    <xf numFmtId="169" fontId="136" fillId="95" borderId="273" xfId="1" applyNumberFormat="1" applyFont="1" applyFill="1" applyBorder="1" applyAlignment="1">
      <alignment horizontal="center" vertical="center" wrapText="1" readingOrder="1"/>
    </xf>
    <xf numFmtId="169" fontId="136" fillId="95" borderId="315" xfId="1" applyNumberFormat="1" applyFont="1" applyFill="1" applyBorder="1" applyAlignment="1">
      <alignment horizontal="center" vertical="center" wrapText="1" readingOrder="1"/>
    </xf>
    <xf numFmtId="169" fontId="136" fillId="95" borderId="318" xfId="1" applyNumberFormat="1" applyFont="1" applyFill="1" applyBorder="1" applyAlignment="1">
      <alignment horizontal="center" vertical="center" wrapText="1" readingOrder="1"/>
    </xf>
    <xf numFmtId="169" fontId="136" fillId="95" borderId="319" xfId="1" applyNumberFormat="1" applyFont="1" applyFill="1" applyBorder="1" applyAlignment="1">
      <alignment horizontal="center" vertical="center" wrapText="1" readingOrder="1"/>
    </xf>
    <xf numFmtId="3" fontId="136" fillId="95" borderId="53" xfId="0" applyNumberFormat="1" applyFont="1" applyFill="1" applyBorder="1" applyAlignment="1">
      <alignment horizontal="center" vertical="center" readingOrder="1"/>
    </xf>
    <xf numFmtId="3" fontId="136" fillId="95" borderId="275" xfId="0" applyNumberFormat="1" applyFont="1" applyFill="1" applyBorder="1" applyAlignment="1">
      <alignment horizontal="center" vertical="center" readingOrder="1"/>
    </xf>
    <xf numFmtId="3" fontId="136" fillId="98" borderId="33" xfId="1" applyNumberFormat="1" applyFont="1" applyFill="1" applyBorder="1" applyAlignment="1">
      <alignment horizontal="center" vertical="center" wrapText="1" readingOrder="1"/>
    </xf>
    <xf numFmtId="3" fontId="136" fillId="98" borderId="40" xfId="1" applyNumberFormat="1" applyFont="1" applyFill="1" applyBorder="1" applyAlignment="1">
      <alignment horizontal="center" vertical="center" wrapText="1" readingOrder="1"/>
    </xf>
    <xf numFmtId="169" fontId="136" fillId="95" borderId="259" xfId="1" applyNumberFormat="1" applyFont="1" applyFill="1" applyBorder="1" applyAlignment="1">
      <alignment horizontal="center" vertical="center" wrapText="1" readingOrder="1"/>
    </xf>
    <xf numFmtId="3" fontId="136" fillId="95" borderId="53" xfId="1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148" fillId="95" borderId="250" xfId="0" applyFont="1" applyFill="1" applyBorder="1" applyAlignment="1">
      <alignment horizontal="center" vertical="center" wrapText="1" readingOrder="1"/>
    </xf>
    <xf numFmtId="0" fontId="148" fillId="95" borderId="263" xfId="0" applyFont="1" applyFill="1" applyBorder="1" applyAlignment="1">
      <alignment horizontal="center" vertical="center" wrapText="1" readingOrder="1"/>
    </xf>
    <xf numFmtId="0" fontId="148" fillId="95" borderId="264" xfId="0" applyFont="1" applyFill="1" applyBorder="1" applyAlignment="1">
      <alignment horizontal="center" vertical="center" wrapText="1" readingOrder="1"/>
    </xf>
    <xf numFmtId="0" fontId="148" fillId="95" borderId="265" xfId="0" applyFont="1" applyFill="1" applyBorder="1" applyAlignment="1">
      <alignment horizontal="center" vertical="center" wrapText="1" readingOrder="1"/>
    </xf>
    <xf numFmtId="0" fontId="136" fillId="95" borderId="249" xfId="0" applyFont="1" applyFill="1" applyBorder="1" applyAlignment="1">
      <alignment horizontal="center" vertical="center" wrapText="1" readingOrder="1"/>
    </xf>
    <xf numFmtId="0" fontId="136" fillId="95" borderId="266" xfId="0" applyFont="1" applyFill="1" applyBorder="1" applyAlignment="1">
      <alignment horizontal="center" vertical="center" wrapText="1" readingOrder="1"/>
    </xf>
    <xf numFmtId="0" fontId="136" fillId="95" borderId="314" xfId="0" applyFont="1" applyFill="1" applyBorder="1" applyAlignment="1">
      <alignment horizontal="left" vertical="center" wrapText="1" indent="1" readingOrder="1"/>
    </xf>
    <xf numFmtId="169" fontId="136" fillId="95" borderId="155" xfId="1" applyNumberFormat="1" applyFont="1" applyFill="1" applyBorder="1" applyAlignment="1">
      <alignment horizontal="center" vertical="center" wrapText="1" readingOrder="1"/>
    </xf>
    <xf numFmtId="0" fontId="184" fillId="98" borderId="250" xfId="0" applyFont="1" applyFill="1" applyBorder="1" applyAlignment="1">
      <alignment horizontal="center" vertical="center" wrapText="1"/>
    </xf>
    <xf numFmtId="0" fontId="184" fillId="98" borderId="286" xfId="0" applyFont="1" applyFill="1" applyBorder="1" applyAlignment="1">
      <alignment horizontal="center" vertical="center" wrapText="1"/>
    </xf>
    <xf numFmtId="0" fontId="184" fillId="98" borderId="249" xfId="0" applyFont="1" applyFill="1" applyBorder="1" applyAlignment="1">
      <alignment horizontal="center" vertical="center" wrapText="1"/>
    </xf>
    <xf numFmtId="0" fontId="184" fillId="98" borderId="266" xfId="0" applyFont="1" applyFill="1" applyBorder="1" applyAlignment="1">
      <alignment horizontal="center" vertical="center" wrapText="1"/>
    </xf>
    <xf numFmtId="0" fontId="112" fillId="98" borderId="266" xfId="0" applyFont="1" applyFill="1" applyBorder="1" applyAlignment="1">
      <alignment horizontal="left" vertical="center"/>
    </xf>
    <xf numFmtId="0" fontId="112" fillId="98" borderId="274" xfId="0" applyFont="1" applyFill="1" applyBorder="1" applyAlignment="1">
      <alignment horizontal="left" vertical="center"/>
    </xf>
    <xf numFmtId="169" fontId="112" fillId="98" borderId="315" xfId="1" applyNumberFormat="1" applyFont="1" applyFill="1" applyBorder="1" applyAlignment="1">
      <alignment horizontal="center" vertical="center"/>
    </xf>
    <xf numFmtId="169" fontId="112" fillId="98" borderId="318" xfId="1" applyNumberFormat="1" applyFont="1" applyFill="1" applyBorder="1" applyAlignment="1">
      <alignment horizontal="center" vertical="center"/>
    </xf>
    <xf numFmtId="169" fontId="112" fillId="98" borderId="316" xfId="1" applyNumberFormat="1" applyFont="1" applyFill="1" applyBorder="1" applyAlignment="1">
      <alignment horizontal="center" vertical="center"/>
    </xf>
    <xf numFmtId="169" fontId="112" fillId="98" borderId="319" xfId="1" applyNumberFormat="1" applyFont="1" applyFill="1" applyBorder="1" applyAlignment="1">
      <alignment horizontal="center" vertical="center"/>
    </xf>
    <xf numFmtId="0" fontId="79" fillId="98" borderId="249" xfId="0" applyFont="1" applyFill="1" applyBorder="1" applyAlignment="1">
      <alignment horizontal="center" vertical="center"/>
    </xf>
    <xf numFmtId="0" fontId="79" fillId="98" borderId="266" xfId="0" applyFont="1" applyFill="1" applyBorder="1" applyAlignment="1">
      <alignment horizontal="center" vertical="center"/>
    </xf>
    <xf numFmtId="3" fontId="79" fillId="98" borderId="250" xfId="227" applyNumberFormat="1" applyFont="1" applyFill="1" applyBorder="1" applyAlignment="1">
      <alignment horizontal="center" vertical="center"/>
    </xf>
    <xf numFmtId="3" fontId="79" fillId="98" borderId="286" xfId="227" applyNumberFormat="1" applyFont="1" applyFill="1" applyBorder="1" applyAlignment="1">
      <alignment horizontal="center" vertical="center"/>
    </xf>
    <xf numFmtId="0" fontId="186" fillId="0" borderId="0" xfId="0" applyFont="1" applyAlignment="1">
      <alignment horizontal="center" wrapText="1"/>
    </xf>
    <xf numFmtId="3" fontId="109" fillId="124" borderId="249" xfId="0" applyNumberFormat="1" applyFont="1" applyFill="1" applyBorder="1" applyAlignment="1">
      <alignment horizontal="center" vertical="center"/>
    </xf>
    <xf numFmtId="3" fontId="109" fillId="124" borderId="572" xfId="0" applyNumberFormat="1" applyFont="1" applyFill="1" applyBorder="1" applyAlignment="1">
      <alignment horizontal="center" vertical="center"/>
    </xf>
    <xf numFmtId="3" fontId="109" fillId="124" borderId="286" xfId="0" applyNumberFormat="1" applyFont="1" applyFill="1" applyBorder="1" applyAlignment="1">
      <alignment horizontal="right" vertical="center" wrapText="1" indent="2"/>
    </xf>
    <xf numFmtId="3" fontId="109" fillId="124" borderId="573" xfId="0" applyNumberFormat="1" applyFont="1" applyFill="1" applyBorder="1" applyAlignment="1">
      <alignment horizontal="right" vertical="center" wrapText="1" indent="2"/>
    </xf>
    <xf numFmtId="49" fontId="109" fillId="124" borderId="250" xfId="0" applyNumberFormat="1" applyFont="1" applyFill="1" applyBorder="1" applyAlignment="1">
      <alignment horizontal="center" vertical="center"/>
    </xf>
    <xf numFmtId="3" fontId="109" fillId="124" borderId="279" xfId="0" applyNumberFormat="1" applyFont="1" applyFill="1" applyBorder="1" applyAlignment="1">
      <alignment horizontal="left" vertical="center"/>
    </xf>
    <xf numFmtId="3" fontId="109" fillId="124" borderId="274" xfId="0" applyNumberFormat="1" applyFont="1" applyFill="1" applyBorder="1" applyAlignment="1">
      <alignment horizontal="left" vertical="center"/>
    </xf>
    <xf numFmtId="169" fontId="109" fillId="124" borderId="259" xfId="1" applyNumberFormat="1" applyFont="1" applyFill="1" applyBorder="1" applyAlignment="1">
      <alignment horizontal="center" vertical="center"/>
    </xf>
    <xf numFmtId="169" fontId="109" fillId="124" borderId="287" xfId="1" applyNumberFormat="1" applyFont="1" applyFill="1" applyBorder="1" applyAlignment="1">
      <alignment horizontal="center" vertical="center"/>
    </xf>
    <xf numFmtId="169" fontId="109" fillId="124" borderId="583" xfId="1" applyNumberFormat="1" applyFont="1" applyFill="1" applyBorder="1" applyAlignment="1">
      <alignment horizontal="center" vertical="center"/>
    </xf>
    <xf numFmtId="0" fontId="15" fillId="98" borderId="249" xfId="0" applyFont="1" applyFill="1" applyBorder="1" applyAlignment="1">
      <alignment horizontal="center" vertical="center" wrapText="1"/>
    </xf>
    <xf numFmtId="0" fontId="15" fillId="98" borderId="433" xfId="0" applyFont="1" applyFill="1" applyBorder="1" applyAlignment="1">
      <alignment horizontal="center" vertical="center" wrapText="1"/>
    </xf>
    <xf numFmtId="0" fontId="15" fillId="98" borderId="250" xfId="0" applyFont="1" applyFill="1" applyBorder="1" applyAlignment="1">
      <alignment horizontal="center" vertical="center" wrapText="1"/>
    </xf>
    <xf numFmtId="0" fontId="15" fillId="98" borderId="286" xfId="0" applyFont="1" applyFill="1" applyBorder="1" applyAlignment="1">
      <alignment horizontal="center" vertical="center" wrapText="1"/>
    </xf>
    <xf numFmtId="0" fontId="196" fillId="128" borderId="600" xfId="0" applyFont="1" applyFill="1" applyBorder="1" applyAlignment="1">
      <alignment horizontal="center" vertical="center" wrapText="1"/>
    </xf>
    <xf numFmtId="0" fontId="196" fillId="128" borderId="0" xfId="0" applyFont="1" applyFill="1" applyBorder="1" applyAlignment="1">
      <alignment horizontal="center" vertical="center" wrapText="1"/>
    </xf>
    <xf numFmtId="0" fontId="196" fillId="128" borderId="601" xfId="0" applyFont="1" applyFill="1" applyBorder="1" applyAlignment="1">
      <alignment horizontal="center" vertical="center" wrapText="1"/>
    </xf>
    <xf numFmtId="0" fontId="196" fillId="128" borderId="437" xfId="0" applyFont="1" applyFill="1" applyBorder="1" applyAlignment="1">
      <alignment horizontal="center" vertical="center" wrapText="1"/>
    </xf>
    <xf numFmtId="0" fontId="196" fillId="128" borderId="597" xfId="0" applyFont="1" applyFill="1" applyBorder="1" applyAlignment="1">
      <alignment horizontal="center" vertical="center" wrapText="1"/>
    </xf>
    <xf numFmtId="0" fontId="196" fillId="128" borderId="598" xfId="0" applyFont="1" applyFill="1" applyBorder="1" applyAlignment="1">
      <alignment horizontal="center" vertical="center" wrapText="1"/>
    </xf>
    <xf numFmtId="0" fontId="196" fillId="128" borderId="599" xfId="0" applyFont="1" applyFill="1" applyBorder="1" applyAlignment="1">
      <alignment horizontal="center" vertical="center" wrapText="1"/>
    </xf>
    <xf numFmtId="169" fontId="73" fillId="3" borderId="602" xfId="1" applyNumberFormat="1" applyFont="1" applyFill="1" applyBorder="1" applyAlignment="1">
      <alignment horizontal="center" vertical="center"/>
    </xf>
    <xf numFmtId="169" fontId="73" fillId="3" borderId="603" xfId="1" applyNumberFormat="1" applyFont="1" applyFill="1" applyBorder="1" applyAlignment="1">
      <alignment horizontal="center" vertical="center"/>
    </xf>
    <xf numFmtId="3" fontId="196" fillId="128" borderId="250" xfId="0" applyNumberFormat="1" applyFont="1" applyFill="1" applyBorder="1" applyAlignment="1">
      <alignment horizontal="center" vertical="center" wrapText="1"/>
    </xf>
    <xf numFmtId="3" fontId="196" fillId="128" borderId="286" xfId="0" applyNumberFormat="1" applyFont="1" applyFill="1" applyBorder="1" applyAlignment="1">
      <alignment horizontal="center" vertical="center" wrapText="1"/>
    </xf>
    <xf numFmtId="169" fontId="196" fillId="128" borderId="315" xfId="1" applyNumberFormat="1" applyFont="1" applyFill="1" applyBorder="1" applyAlignment="1">
      <alignment horizontal="center" vertical="center" wrapText="1"/>
    </xf>
    <xf numFmtId="169" fontId="196" fillId="128" borderId="316" xfId="1" applyNumberFormat="1" applyFont="1" applyFill="1" applyBorder="1" applyAlignment="1">
      <alignment horizontal="center" vertical="center" wrapText="1"/>
    </xf>
    <xf numFmtId="169" fontId="196" fillId="128" borderId="319" xfId="1" applyNumberFormat="1" applyFont="1" applyFill="1" applyBorder="1" applyAlignment="1">
      <alignment horizontal="center" vertical="center" wrapText="1"/>
    </xf>
    <xf numFmtId="0" fontId="196" fillId="128" borderId="249" xfId="0" applyFont="1" applyFill="1" applyBorder="1" applyAlignment="1">
      <alignment horizontal="center" vertical="center" wrapText="1"/>
    </xf>
    <xf numFmtId="0" fontId="196" fillId="128" borderId="433" xfId="0" applyFont="1" applyFill="1" applyBorder="1" applyAlignment="1">
      <alignment horizontal="center" vertical="center" wrapText="1"/>
    </xf>
  </cellXfs>
  <cellStyles count="4075">
    <cellStyle name="20% - Accent1" xfId="1518"/>
    <cellStyle name="20% - Accent2" xfId="1519"/>
    <cellStyle name="20% - Accent3" xfId="1520"/>
    <cellStyle name="20% - Accent4" xfId="1521"/>
    <cellStyle name="20% - Accent5" xfId="1522"/>
    <cellStyle name="20% - Accent6" xfId="1523"/>
    <cellStyle name="20% - Énfasis1" xfId="1667" builtinId="30" customBuiltin="1"/>
    <cellStyle name="20% - Énfasis1 2" xfId="5"/>
    <cellStyle name="20% - Énfasis1 2 2" xfId="1166"/>
    <cellStyle name="20% - Énfasis1 2 2 2" xfId="1567"/>
    <cellStyle name="20% - Énfasis1 2 2 2 2" xfId="1771"/>
    <cellStyle name="20% - Énfasis1 2 2 3" xfId="1772"/>
    <cellStyle name="20% - Énfasis1 2 2 4" xfId="1770"/>
    <cellStyle name="20% - Énfasis1 2 3" xfId="1773"/>
    <cellStyle name="20% - Énfasis1 2 3 2" xfId="1774"/>
    <cellStyle name="20% - Énfasis1 2 3 3" xfId="1775"/>
    <cellStyle name="20% - Énfasis1 2 3 4" xfId="1776"/>
    <cellStyle name="20% - Énfasis1 2 3 5" xfId="1777"/>
    <cellStyle name="20% - Énfasis1 2 4" xfId="1778"/>
    <cellStyle name="20% - Énfasis1 2 4 2" xfId="1779"/>
    <cellStyle name="20% - Énfasis1 2 4 3" xfId="1780"/>
    <cellStyle name="20% - Énfasis1 2 4 4" xfId="1781"/>
    <cellStyle name="20% - Énfasis1 2 5" xfId="1782"/>
    <cellStyle name="20% - Énfasis1 2 5 2" xfId="1783"/>
    <cellStyle name="20% - Énfasis1 2 5 3" xfId="1784"/>
    <cellStyle name="20% - Énfasis1 3" xfId="6"/>
    <cellStyle name="20% - Énfasis1 3 2" xfId="1568"/>
    <cellStyle name="20% - Énfasis1 3 2 2" xfId="1787"/>
    <cellStyle name="20% - Énfasis1 3 2 3" xfId="1788"/>
    <cellStyle name="20% - Énfasis1 3 2 4" xfId="1789"/>
    <cellStyle name="20% - Énfasis1 3 2 5" xfId="1786"/>
    <cellStyle name="20% - Énfasis1 3 3" xfId="1790"/>
    <cellStyle name="20% - Énfasis1 3 4" xfId="1791"/>
    <cellStyle name="20% - Énfasis1 3 5" xfId="1792"/>
    <cellStyle name="20% - Énfasis1 3 6" xfId="1785"/>
    <cellStyle name="20% - Énfasis1 4" xfId="7"/>
    <cellStyle name="20% - Énfasis1 5" xfId="1793"/>
    <cellStyle name="20% - Énfasis1 5 2" xfId="1794"/>
    <cellStyle name="20% - Énfasis1 5 3" xfId="1795"/>
    <cellStyle name="20% - Énfasis1 5 4" xfId="1796"/>
    <cellStyle name="20% - Énfasis1 6" xfId="1797"/>
    <cellStyle name="20% - Énfasis1 6 2" xfId="1798"/>
    <cellStyle name="20% - Énfasis1 6 3" xfId="1799"/>
    <cellStyle name="20% - Énfasis1 6 4" xfId="1800"/>
    <cellStyle name="20% - Énfasis1 7" xfId="1801"/>
    <cellStyle name="20% - Énfasis1 7 2" xfId="1802"/>
    <cellStyle name="20% - Énfasis1 7 3" xfId="1803"/>
    <cellStyle name="20% - Énfasis1 8" xfId="1804"/>
    <cellStyle name="20% - Énfasis1 9" xfId="1769"/>
    <cellStyle name="20% - Énfasis2" xfId="1671" builtinId="34" customBuiltin="1"/>
    <cellStyle name="20% - Énfasis2 2" xfId="8"/>
    <cellStyle name="20% - Énfasis2 2 2" xfId="1167"/>
    <cellStyle name="20% - Énfasis2 2 2 2" xfId="1569"/>
    <cellStyle name="20% - Énfasis2 2 2 2 2" xfId="1807"/>
    <cellStyle name="20% - Énfasis2 2 2 3" xfId="1808"/>
    <cellStyle name="20% - Énfasis2 2 2 4" xfId="1806"/>
    <cellStyle name="20% - Énfasis2 2 3" xfId="1809"/>
    <cellStyle name="20% - Énfasis2 2 3 2" xfId="1810"/>
    <cellStyle name="20% - Énfasis2 2 3 3" xfId="1811"/>
    <cellStyle name="20% - Énfasis2 2 3 4" xfId="1812"/>
    <cellStyle name="20% - Énfasis2 2 3 5" xfId="1813"/>
    <cellStyle name="20% - Énfasis2 2 4" xfId="1814"/>
    <cellStyle name="20% - Énfasis2 2 4 2" xfId="1815"/>
    <cellStyle name="20% - Énfasis2 2 4 3" xfId="1816"/>
    <cellStyle name="20% - Énfasis2 2 4 4" xfId="1817"/>
    <cellStyle name="20% - Énfasis2 2 5" xfId="1818"/>
    <cellStyle name="20% - Énfasis2 2 5 2" xfId="1819"/>
    <cellStyle name="20% - Énfasis2 2 5 3" xfId="1820"/>
    <cellStyle name="20% - Énfasis2 3" xfId="9"/>
    <cellStyle name="20% - Énfasis2 3 2" xfId="1570"/>
    <cellStyle name="20% - Énfasis2 3 2 2" xfId="1823"/>
    <cellStyle name="20% - Énfasis2 3 2 3" xfId="1824"/>
    <cellStyle name="20% - Énfasis2 3 2 4" xfId="1825"/>
    <cellStyle name="20% - Énfasis2 3 2 5" xfId="1822"/>
    <cellStyle name="20% - Énfasis2 3 3" xfId="1826"/>
    <cellStyle name="20% - Énfasis2 3 4" xfId="1827"/>
    <cellStyle name="20% - Énfasis2 3 5" xfId="1828"/>
    <cellStyle name="20% - Énfasis2 3 6" xfId="1821"/>
    <cellStyle name="20% - Énfasis2 4" xfId="10"/>
    <cellStyle name="20% - Énfasis2 5" xfId="1829"/>
    <cellStyle name="20% - Énfasis2 5 2" xfId="1830"/>
    <cellStyle name="20% - Énfasis2 5 3" xfId="1831"/>
    <cellStyle name="20% - Énfasis2 5 4" xfId="1832"/>
    <cellStyle name="20% - Énfasis2 6" xfId="1833"/>
    <cellStyle name="20% - Énfasis2 6 2" xfId="1834"/>
    <cellStyle name="20% - Énfasis2 6 3" xfId="1835"/>
    <cellStyle name="20% - Énfasis2 6 4" xfId="1836"/>
    <cellStyle name="20% - Énfasis2 7" xfId="1837"/>
    <cellStyle name="20% - Énfasis2 7 2" xfId="1838"/>
    <cellStyle name="20% - Énfasis2 7 3" xfId="1839"/>
    <cellStyle name="20% - Énfasis2 8" xfId="1840"/>
    <cellStyle name="20% - Énfasis2 9" xfId="1805"/>
    <cellStyle name="20% - Énfasis3" xfId="1675" builtinId="38" customBuiltin="1"/>
    <cellStyle name="20% - Énfasis3 2" xfId="11"/>
    <cellStyle name="20% - Énfasis3 2 2" xfId="1168"/>
    <cellStyle name="20% - Énfasis3 2 2 2" xfId="1571"/>
    <cellStyle name="20% - Énfasis3 2 2 2 2" xfId="1843"/>
    <cellStyle name="20% - Énfasis3 2 2 3" xfId="1844"/>
    <cellStyle name="20% - Énfasis3 2 2 4" xfId="1842"/>
    <cellStyle name="20% - Énfasis3 2 3" xfId="1845"/>
    <cellStyle name="20% - Énfasis3 2 3 2" xfId="1846"/>
    <cellStyle name="20% - Énfasis3 2 3 3" xfId="1847"/>
    <cellStyle name="20% - Énfasis3 2 3 4" xfId="1848"/>
    <cellStyle name="20% - Énfasis3 2 3 5" xfId="1849"/>
    <cellStyle name="20% - Énfasis3 2 4" xfId="1850"/>
    <cellStyle name="20% - Énfasis3 2 4 2" xfId="1851"/>
    <cellStyle name="20% - Énfasis3 2 4 3" xfId="1852"/>
    <cellStyle name="20% - Énfasis3 2 4 4" xfId="1853"/>
    <cellStyle name="20% - Énfasis3 2 5" xfId="1854"/>
    <cellStyle name="20% - Énfasis3 2 5 2" xfId="1855"/>
    <cellStyle name="20% - Énfasis3 2 5 3" xfId="1856"/>
    <cellStyle name="20% - Énfasis3 3" xfId="12"/>
    <cellStyle name="20% - Énfasis3 3 2" xfId="1572"/>
    <cellStyle name="20% - Énfasis3 3 2 2" xfId="1859"/>
    <cellStyle name="20% - Énfasis3 3 2 3" xfId="1860"/>
    <cellStyle name="20% - Énfasis3 3 2 4" xfId="1861"/>
    <cellStyle name="20% - Énfasis3 3 2 5" xfId="1858"/>
    <cellStyle name="20% - Énfasis3 3 3" xfId="1862"/>
    <cellStyle name="20% - Énfasis3 3 4" xfId="1863"/>
    <cellStyle name="20% - Énfasis3 3 5" xfId="1864"/>
    <cellStyle name="20% - Énfasis3 3 6" xfId="1857"/>
    <cellStyle name="20% - Énfasis3 4" xfId="13"/>
    <cellStyle name="20% - Énfasis3 5" xfId="1865"/>
    <cellStyle name="20% - Énfasis3 5 2" xfId="1866"/>
    <cellStyle name="20% - Énfasis3 5 3" xfId="1867"/>
    <cellStyle name="20% - Énfasis3 5 4" xfId="1868"/>
    <cellStyle name="20% - Énfasis3 6" xfId="1869"/>
    <cellStyle name="20% - Énfasis3 6 2" xfId="1870"/>
    <cellStyle name="20% - Énfasis3 6 3" xfId="1871"/>
    <cellStyle name="20% - Énfasis3 6 4" xfId="1872"/>
    <cellStyle name="20% - Énfasis3 7" xfId="1873"/>
    <cellStyle name="20% - Énfasis3 7 2" xfId="1874"/>
    <cellStyle name="20% - Énfasis3 7 3" xfId="1875"/>
    <cellStyle name="20% - Énfasis3 8" xfId="1876"/>
    <cellStyle name="20% - Énfasis3 9" xfId="1841"/>
    <cellStyle name="20% - Énfasis4" xfId="1679" builtinId="42" customBuiltin="1"/>
    <cellStyle name="20% - Énfasis4 2" xfId="14"/>
    <cellStyle name="20% - Énfasis4 2 2" xfId="1169"/>
    <cellStyle name="20% - Énfasis4 2 2 2" xfId="1573"/>
    <cellStyle name="20% - Énfasis4 2 2 2 2" xfId="1879"/>
    <cellStyle name="20% - Énfasis4 2 2 3" xfId="1880"/>
    <cellStyle name="20% - Énfasis4 2 2 4" xfId="1878"/>
    <cellStyle name="20% - Énfasis4 2 3" xfId="1881"/>
    <cellStyle name="20% - Énfasis4 2 3 2" xfId="1882"/>
    <cellStyle name="20% - Énfasis4 2 3 3" xfId="1883"/>
    <cellStyle name="20% - Énfasis4 2 3 4" xfId="1884"/>
    <cellStyle name="20% - Énfasis4 2 3 5" xfId="1885"/>
    <cellStyle name="20% - Énfasis4 2 4" xfId="1886"/>
    <cellStyle name="20% - Énfasis4 2 4 2" xfId="1887"/>
    <cellStyle name="20% - Énfasis4 2 4 3" xfId="1888"/>
    <cellStyle name="20% - Énfasis4 2 4 4" xfId="1889"/>
    <cellStyle name="20% - Énfasis4 2 5" xfId="1890"/>
    <cellStyle name="20% - Énfasis4 2 5 2" xfId="1891"/>
    <cellStyle name="20% - Énfasis4 2 5 3" xfId="1892"/>
    <cellStyle name="20% - Énfasis4 3" xfId="15"/>
    <cellStyle name="20% - Énfasis4 3 2" xfId="1574"/>
    <cellStyle name="20% - Énfasis4 3 2 2" xfId="1895"/>
    <cellStyle name="20% - Énfasis4 3 2 3" xfId="1896"/>
    <cellStyle name="20% - Énfasis4 3 2 4" xfId="1897"/>
    <cellStyle name="20% - Énfasis4 3 2 5" xfId="1894"/>
    <cellStyle name="20% - Énfasis4 3 3" xfId="1898"/>
    <cellStyle name="20% - Énfasis4 3 4" xfId="1899"/>
    <cellStyle name="20% - Énfasis4 3 5" xfId="1900"/>
    <cellStyle name="20% - Énfasis4 3 6" xfId="1893"/>
    <cellStyle name="20% - Énfasis4 4" xfId="16"/>
    <cellStyle name="20% - Énfasis4 5" xfId="1901"/>
    <cellStyle name="20% - Énfasis4 5 2" xfId="1902"/>
    <cellStyle name="20% - Énfasis4 5 3" xfId="1903"/>
    <cellStyle name="20% - Énfasis4 5 4" xfId="1904"/>
    <cellStyle name="20% - Énfasis4 6" xfId="1905"/>
    <cellStyle name="20% - Énfasis4 6 2" xfId="1906"/>
    <cellStyle name="20% - Énfasis4 6 3" xfId="1907"/>
    <cellStyle name="20% - Énfasis4 6 4" xfId="1908"/>
    <cellStyle name="20% - Énfasis4 7" xfId="1909"/>
    <cellStyle name="20% - Énfasis4 7 2" xfId="1910"/>
    <cellStyle name="20% - Énfasis4 7 3" xfId="1911"/>
    <cellStyle name="20% - Énfasis4 8" xfId="1912"/>
    <cellStyle name="20% - Énfasis4 9" xfId="1877"/>
    <cellStyle name="20% - Énfasis5" xfId="1683" builtinId="46" customBuiltin="1"/>
    <cellStyle name="20% - Énfasis5 2" xfId="17"/>
    <cellStyle name="20% - Énfasis5 2 2" xfId="1170"/>
    <cellStyle name="20% - Énfasis5 2 2 2" xfId="1575"/>
    <cellStyle name="20% - Énfasis5 2 2 2 2" xfId="1915"/>
    <cellStyle name="20% - Énfasis5 2 2 3" xfId="1916"/>
    <cellStyle name="20% - Énfasis5 2 2 4" xfId="1914"/>
    <cellStyle name="20% - Énfasis5 2 3" xfId="1917"/>
    <cellStyle name="20% - Énfasis5 2 3 2" xfId="1918"/>
    <cellStyle name="20% - Énfasis5 2 3 3" xfId="1919"/>
    <cellStyle name="20% - Énfasis5 2 3 4" xfId="1920"/>
    <cellStyle name="20% - Énfasis5 2 3 5" xfId="1921"/>
    <cellStyle name="20% - Énfasis5 2 4" xfId="1922"/>
    <cellStyle name="20% - Énfasis5 2 4 2" xfId="1923"/>
    <cellStyle name="20% - Énfasis5 2 4 3" xfId="1924"/>
    <cellStyle name="20% - Énfasis5 2 4 4" xfId="1925"/>
    <cellStyle name="20% - Énfasis5 2 5" xfId="1926"/>
    <cellStyle name="20% - Énfasis5 2 5 2" xfId="1927"/>
    <cellStyle name="20% - Énfasis5 2 5 3" xfId="1928"/>
    <cellStyle name="20% - Énfasis5 3" xfId="18"/>
    <cellStyle name="20% - Énfasis5 3 2" xfId="1576"/>
    <cellStyle name="20% - Énfasis5 3 2 2" xfId="1931"/>
    <cellStyle name="20% - Énfasis5 3 2 3" xfId="1932"/>
    <cellStyle name="20% - Énfasis5 3 2 4" xfId="1933"/>
    <cellStyle name="20% - Énfasis5 3 2 5" xfId="1930"/>
    <cellStyle name="20% - Énfasis5 3 3" xfId="1934"/>
    <cellStyle name="20% - Énfasis5 3 4" xfId="1935"/>
    <cellStyle name="20% - Énfasis5 3 5" xfId="1936"/>
    <cellStyle name="20% - Énfasis5 3 6" xfId="1929"/>
    <cellStyle name="20% - Énfasis5 4" xfId="19"/>
    <cellStyle name="20% - Énfasis5 5" xfId="1937"/>
    <cellStyle name="20% - Énfasis5 5 2" xfId="1938"/>
    <cellStyle name="20% - Énfasis5 5 3" xfId="1939"/>
    <cellStyle name="20% - Énfasis5 5 4" xfId="1940"/>
    <cellStyle name="20% - Énfasis5 6" xfId="1941"/>
    <cellStyle name="20% - Énfasis5 6 2" xfId="1942"/>
    <cellStyle name="20% - Énfasis5 6 3" xfId="1943"/>
    <cellStyle name="20% - Énfasis5 6 4" xfId="1944"/>
    <cellStyle name="20% - Énfasis5 7" xfId="1945"/>
    <cellStyle name="20% - Énfasis5 7 2" xfId="1946"/>
    <cellStyle name="20% - Énfasis5 7 3" xfId="1947"/>
    <cellStyle name="20% - Énfasis5 8" xfId="1948"/>
    <cellStyle name="20% - Énfasis5 9" xfId="1913"/>
    <cellStyle name="20% - Énfasis6" xfId="1687" builtinId="50" customBuiltin="1"/>
    <cellStyle name="20% - Énfasis6 2" xfId="20"/>
    <cellStyle name="20% - Énfasis6 2 2" xfId="1171"/>
    <cellStyle name="20% - Énfasis6 2 2 2" xfId="1577"/>
    <cellStyle name="20% - Énfasis6 2 2 2 2" xfId="1949"/>
    <cellStyle name="20% - Énfasis6 2 3" xfId="1950"/>
    <cellStyle name="20% - Énfasis6 2 3 2" xfId="1951"/>
    <cellStyle name="20% - Énfasis6 2 4" xfId="1952"/>
    <cellStyle name="20% - Énfasis6 2 5" xfId="1953"/>
    <cellStyle name="20% - Énfasis6 3" xfId="21"/>
    <cellStyle name="20% - Énfasis6 3 2" xfId="1578"/>
    <cellStyle name="20% - Énfasis6 4" xfId="22"/>
    <cellStyle name="20% - Énfasis6 5" xfId="1954"/>
    <cellStyle name="20% - Énfasis6 6" xfId="1955"/>
    <cellStyle name="20% - Énfasis6 7" xfId="1956"/>
    <cellStyle name="40% - Accent1" xfId="1524"/>
    <cellStyle name="40% - Accent2" xfId="1525"/>
    <cellStyle name="40% - Accent3" xfId="1526"/>
    <cellStyle name="40% - Accent4" xfId="1527"/>
    <cellStyle name="40% - Accent5" xfId="1528"/>
    <cellStyle name="40% - Accent6" xfId="1529"/>
    <cellStyle name="40% - Énfasis1" xfId="1668" builtinId="31" customBuiltin="1"/>
    <cellStyle name="40% - Énfasis1 2" xfId="23"/>
    <cellStyle name="40% - Énfasis1 2 2" xfId="1172"/>
    <cellStyle name="40% - Énfasis1 2 2 2" xfId="1579"/>
    <cellStyle name="40% - Énfasis1 2 2 2 2" xfId="1959"/>
    <cellStyle name="40% - Énfasis1 2 2 3" xfId="1960"/>
    <cellStyle name="40% - Énfasis1 2 2 4" xfId="1958"/>
    <cellStyle name="40% - Énfasis1 2 3" xfId="1961"/>
    <cellStyle name="40% - Énfasis1 2 3 2" xfId="1962"/>
    <cellStyle name="40% - Énfasis1 2 3 3" xfId="1963"/>
    <cellStyle name="40% - Énfasis1 2 3 4" xfId="1964"/>
    <cellStyle name="40% - Énfasis1 2 3 5" xfId="1965"/>
    <cellStyle name="40% - Énfasis1 2 4" xfId="1966"/>
    <cellStyle name="40% - Énfasis1 2 4 2" xfId="1967"/>
    <cellStyle name="40% - Énfasis1 2 4 3" xfId="1968"/>
    <cellStyle name="40% - Énfasis1 2 4 4" xfId="1969"/>
    <cellStyle name="40% - Énfasis1 2 5" xfId="1970"/>
    <cellStyle name="40% - Énfasis1 2 5 2" xfId="1971"/>
    <cellStyle name="40% - Énfasis1 2 5 3" xfId="1972"/>
    <cellStyle name="40% - Énfasis1 3" xfId="24"/>
    <cellStyle name="40% - Énfasis1 3 2" xfId="1580"/>
    <cellStyle name="40% - Énfasis1 3 2 2" xfId="1975"/>
    <cellStyle name="40% - Énfasis1 3 2 3" xfId="1976"/>
    <cellStyle name="40% - Énfasis1 3 2 4" xfId="1977"/>
    <cellStyle name="40% - Énfasis1 3 2 5" xfId="1974"/>
    <cellStyle name="40% - Énfasis1 3 3" xfId="1978"/>
    <cellStyle name="40% - Énfasis1 3 4" xfId="1979"/>
    <cellStyle name="40% - Énfasis1 3 5" xfId="1980"/>
    <cellStyle name="40% - Énfasis1 3 6" xfId="1973"/>
    <cellStyle name="40% - Énfasis1 4" xfId="25"/>
    <cellStyle name="40% - Énfasis1 5" xfId="1981"/>
    <cellStyle name="40% - Énfasis1 5 2" xfId="1982"/>
    <cellStyle name="40% - Énfasis1 5 3" xfId="1983"/>
    <cellStyle name="40% - Énfasis1 5 4" xfId="1984"/>
    <cellStyle name="40% - Énfasis1 6" xfId="1985"/>
    <cellStyle name="40% - Énfasis1 6 2" xfId="1986"/>
    <cellStyle name="40% - Énfasis1 6 3" xfId="1987"/>
    <cellStyle name="40% - Énfasis1 6 4" xfId="1988"/>
    <cellStyle name="40% - Énfasis1 7" xfId="1989"/>
    <cellStyle name="40% - Énfasis1 7 2" xfId="1990"/>
    <cellStyle name="40% - Énfasis1 7 3" xfId="1991"/>
    <cellStyle name="40% - Énfasis1 8" xfId="1992"/>
    <cellStyle name="40% - Énfasis1 9" xfId="1957"/>
    <cellStyle name="40% - Énfasis2" xfId="1672" builtinId="35" customBuiltin="1"/>
    <cellStyle name="40% - Énfasis2 2" xfId="26"/>
    <cellStyle name="40% - Énfasis2 2 2" xfId="1173"/>
    <cellStyle name="40% - Énfasis2 2 2 2" xfId="1581"/>
    <cellStyle name="40% - Énfasis2 2 2 2 2" xfId="1995"/>
    <cellStyle name="40% - Énfasis2 2 2 3" xfId="1996"/>
    <cellStyle name="40% - Énfasis2 2 2 4" xfId="1994"/>
    <cellStyle name="40% - Énfasis2 2 3" xfId="1997"/>
    <cellStyle name="40% - Énfasis2 2 3 2" xfId="1998"/>
    <cellStyle name="40% - Énfasis2 2 3 3" xfId="1999"/>
    <cellStyle name="40% - Énfasis2 2 3 4" xfId="2000"/>
    <cellStyle name="40% - Énfasis2 2 3 5" xfId="2001"/>
    <cellStyle name="40% - Énfasis2 2 4" xfId="2002"/>
    <cellStyle name="40% - Énfasis2 2 4 2" xfId="2003"/>
    <cellStyle name="40% - Énfasis2 2 4 3" xfId="2004"/>
    <cellStyle name="40% - Énfasis2 2 4 4" xfId="2005"/>
    <cellStyle name="40% - Énfasis2 2 5" xfId="2006"/>
    <cellStyle name="40% - Énfasis2 2 5 2" xfId="2007"/>
    <cellStyle name="40% - Énfasis2 2 5 3" xfId="2008"/>
    <cellStyle name="40% - Énfasis2 3" xfId="27"/>
    <cellStyle name="40% - Énfasis2 3 2" xfId="1582"/>
    <cellStyle name="40% - Énfasis2 3 2 2" xfId="2011"/>
    <cellStyle name="40% - Énfasis2 3 2 3" xfId="2012"/>
    <cellStyle name="40% - Énfasis2 3 2 4" xfId="2013"/>
    <cellStyle name="40% - Énfasis2 3 2 5" xfId="2010"/>
    <cellStyle name="40% - Énfasis2 3 3" xfId="2014"/>
    <cellStyle name="40% - Énfasis2 3 4" xfId="2015"/>
    <cellStyle name="40% - Énfasis2 3 5" xfId="2016"/>
    <cellStyle name="40% - Énfasis2 3 6" xfId="2009"/>
    <cellStyle name="40% - Énfasis2 4" xfId="28"/>
    <cellStyle name="40% - Énfasis2 5" xfId="2017"/>
    <cellStyle name="40% - Énfasis2 5 2" xfId="2018"/>
    <cellStyle name="40% - Énfasis2 5 3" xfId="2019"/>
    <cellStyle name="40% - Énfasis2 5 4" xfId="2020"/>
    <cellStyle name="40% - Énfasis2 6" xfId="2021"/>
    <cellStyle name="40% - Énfasis2 6 2" xfId="2022"/>
    <cellStyle name="40% - Énfasis2 6 3" xfId="2023"/>
    <cellStyle name="40% - Énfasis2 6 4" xfId="2024"/>
    <cellStyle name="40% - Énfasis2 7" xfId="2025"/>
    <cellStyle name="40% - Énfasis2 7 2" xfId="2026"/>
    <cellStyle name="40% - Énfasis2 7 3" xfId="2027"/>
    <cellStyle name="40% - Énfasis2 8" xfId="2028"/>
    <cellStyle name="40% - Énfasis2 9" xfId="1993"/>
    <cellStyle name="40% - Énfasis3" xfId="1676" builtinId="39" customBuiltin="1"/>
    <cellStyle name="40% - Énfasis3 2" xfId="29"/>
    <cellStyle name="40% - Énfasis3 2 2" xfId="1174"/>
    <cellStyle name="40% - Énfasis3 2 2 2" xfId="1583"/>
    <cellStyle name="40% - Énfasis3 2 2 2 2" xfId="2031"/>
    <cellStyle name="40% - Énfasis3 2 2 3" xfId="2032"/>
    <cellStyle name="40% - Énfasis3 2 2 4" xfId="2030"/>
    <cellStyle name="40% - Énfasis3 2 3" xfId="2033"/>
    <cellStyle name="40% - Énfasis3 2 3 2" xfId="2034"/>
    <cellStyle name="40% - Énfasis3 2 3 3" xfId="2035"/>
    <cellStyle name="40% - Énfasis3 2 3 4" xfId="2036"/>
    <cellStyle name="40% - Énfasis3 2 3 5" xfId="2037"/>
    <cellStyle name="40% - Énfasis3 2 4" xfId="2038"/>
    <cellStyle name="40% - Énfasis3 2 4 2" xfId="2039"/>
    <cellStyle name="40% - Énfasis3 2 4 3" xfId="2040"/>
    <cellStyle name="40% - Énfasis3 2 4 4" xfId="2041"/>
    <cellStyle name="40% - Énfasis3 2 5" xfId="2042"/>
    <cellStyle name="40% - Énfasis3 2 5 2" xfId="2043"/>
    <cellStyle name="40% - Énfasis3 2 5 3" xfId="2044"/>
    <cellStyle name="40% - Énfasis3 3" xfId="30"/>
    <cellStyle name="40% - Énfasis3 3 2" xfId="1584"/>
    <cellStyle name="40% - Énfasis3 3 2 2" xfId="2047"/>
    <cellStyle name="40% - Énfasis3 3 2 3" xfId="2048"/>
    <cellStyle name="40% - Énfasis3 3 2 4" xfId="2049"/>
    <cellStyle name="40% - Énfasis3 3 2 5" xfId="2046"/>
    <cellStyle name="40% - Énfasis3 3 3" xfId="2050"/>
    <cellStyle name="40% - Énfasis3 3 4" xfId="2051"/>
    <cellStyle name="40% - Énfasis3 3 5" xfId="2052"/>
    <cellStyle name="40% - Énfasis3 3 6" xfId="2045"/>
    <cellStyle name="40% - Énfasis3 4" xfId="31"/>
    <cellStyle name="40% - Énfasis3 5" xfId="2053"/>
    <cellStyle name="40% - Énfasis3 5 2" xfId="2054"/>
    <cellStyle name="40% - Énfasis3 5 3" xfId="2055"/>
    <cellStyle name="40% - Énfasis3 5 4" xfId="2056"/>
    <cellStyle name="40% - Énfasis3 6" xfId="2057"/>
    <cellStyle name="40% - Énfasis3 6 2" xfId="2058"/>
    <cellStyle name="40% - Énfasis3 6 3" xfId="2059"/>
    <cellStyle name="40% - Énfasis3 6 4" xfId="2060"/>
    <cellStyle name="40% - Énfasis3 7" xfId="2061"/>
    <cellStyle name="40% - Énfasis3 7 2" xfId="2062"/>
    <cellStyle name="40% - Énfasis3 7 3" xfId="2063"/>
    <cellStyle name="40% - Énfasis3 8" xfId="2064"/>
    <cellStyle name="40% - Énfasis3 9" xfId="2029"/>
    <cellStyle name="40% - Énfasis4" xfId="1680" builtinId="43" customBuiltin="1"/>
    <cellStyle name="40% - Énfasis4 2" xfId="32"/>
    <cellStyle name="40% - Énfasis4 2 2" xfId="1175"/>
    <cellStyle name="40% - Énfasis4 2 2 2" xfId="1585"/>
    <cellStyle name="40% - Énfasis4 2 2 2 2" xfId="2067"/>
    <cellStyle name="40% - Énfasis4 2 2 3" xfId="2068"/>
    <cellStyle name="40% - Énfasis4 2 2 4" xfId="2066"/>
    <cellStyle name="40% - Énfasis4 2 3" xfId="2069"/>
    <cellStyle name="40% - Énfasis4 2 3 2" xfId="2070"/>
    <cellStyle name="40% - Énfasis4 2 3 3" xfId="2071"/>
    <cellStyle name="40% - Énfasis4 2 3 4" xfId="2072"/>
    <cellStyle name="40% - Énfasis4 2 3 5" xfId="2073"/>
    <cellStyle name="40% - Énfasis4 2 4" xfId="2074"/>
    <cellStyle name="40% - Énfasis4 2 4 2" xfId="2075"/>
    <cellStyle name="40% - Énfasis4 2 4 3" xfId="2076"/>
    <cellStyle name="40% - Énfasis4 2 4 4" xfId="2077"/>
    <cellStyle name="40% - Énfasis4 2 5" xfId="2078"/>
    <cellStyle name="40% - Énfasis4 2 5 2" xfId="2079"/>
    <cellStyle name="40% - Énfasis4 2 5 3" xfId="2080"/>
    <cellStyle name="40% - Énfasis4 3" xfId="33"/>
    <cellStyle name="40% - Énfasis4 3 2" xfId="1586"/>
    <cellStyle name="40% - Énfasis4 3 2 2" xfId="2083"/>
    <cellStyle name="40% - Énfasis4 3 2 3" xfId="2084"/>
    <cellStyle name="40% - Énfasis4 3 2 4" xfId="2085"/>
    <cellStyle name="40% - Énfasis4 3 2 5" xfId="2082"/>
    <cellStyle name="40% - Énfasis4 3 3" xfId="2086"/>
    <cellStyle name="40% - Énfasis4 3 4" xfId="2087"/>
    <cellStyle name="40% - Énfasis4 3 5" xfId="2088"/>
    <cellStyle name="40% - Énfasis4 3 6" xfId="2081"/>
    <cellStyle name="40% - Énfasis4 4" xfId="34"/>
    <cellStyle name="40% - Énfasis4 5" xfId="2089"/>
    <cellStyle name="40% - Énfasis4 5 2" xfId="2090"/>
    <cellStyle name="40% - Énfasis4 5 3" xfId="2091"/>
    <cellStyle name="40% - Énfasis4 5 4" xfId="2092"/>
    <cellStyle name="40% - Énfasis4 6" xfId="2093"/>
    <cellStyle name="40% - Énfasis4 6 2" xfId="2094"/>
    <cellStyle name="40% - Énfasis4 6 3" xfId="2095"/>
    <cellStyle name="40% - Énfasis4 6 4" xfId="2096"/>
    <cellStyle name="40% - Énfasis4 7" xfId="2097"/>
    <cellStyle name="40% - Énfasis4 7 2" xfId="2098"/>
    <cellStyle name="40% - Énfasis4 7 3" xfId="2099"/>
    <cellStyle name="40% - Énfasis4 8" xfId="2100"/>
    <cellStyle name="40% - Énfasis4 9" xfId="2065"/>
    <cellStyle name="40% - Énfasis5" xfId="1684" builtinId="47" customBuiltin="1"/>
    <cellStyle name="40% - Énfasis5 2" xfId="35"/>
    <cellStyle name="40% - Énfasis5 2 2" xfId="1176"/>
    <cellStyle name="40% - Énfasis5 2 2 2" xfId="1587"/>
    <cellStyle name="40% - Énfasis5 2 2 2 2" xfId="2101"/>
    <cellStyle name="40% - Énfasis5 2 3" xfId="2102"/>
    <cellStyle name="40% - Énfasis5 2 3 2" xfId="2103"/>
    <cellStyle name="40% - Énfasis5 2 4" xfId="2104"/>
    <cellStyle name="40% - Énfasis5 2 5" xfId="2105"/>
    <cellStyle name="40% - Énfasis5 3" xfId="36"/>
    <cellStyle name="40% - Énfasis5 3 2" xfId="1588"/>
    <cellStyle name="40% - Énfasis5 4" xfId="37"/>
    <cellStyle name="40% - Énfasis5 5" xfId="2106"/>
    <cellStyle name="40% - Énfasis5 6" xfId="2107"/>
    <cellStyle name="40% - Énfasis5 7" xfId="2108"/>
    <cellStyle name="40% - Énfasis6" xfId="1688" builtinId="51" customBuiltin="1"/>
    <cellStyle name="40% - Énfasis6 2" xfId="38"/>
    <cellStyle name="40% - Énfasis6 2 2" xfId="1177"/>
    <cellStyle name="40% - Énfasis6 2 2 2" xfId="1589"/>
    <cellStyle name="40% - Énfasis6 2 2 2 2" xfId="2111"/>
    <cellStyle name="40% - Énfasis6 2 2 3" xfId="2112"/>
    <cellStyle name="40% - Énfasis6 2 2 4" xfId="2110"/>
    <cellStyle name="40% - Énfasis6 2 3" xfId="2113"/>
    <cellStyle name="40% - Énfasis6 2 3 2" xfId="2114"/>
    <cellStyle name="40% - Énfasis6 2 3 3" xfId="2115"/>
    <cellStyle name="40% - Énfasis6 2 3 4" xfId="2116"/>
    <cellStyle name="40% - Énfasis6 2 3 5" xfId="2117"/>
    <cellStyle name="40% - Énfasis6 2 4" xfId="2118"/>
    <cellStyle name="40% - Énfasis6 2 4 2" xfId="2119"/>
    <cellStyle name="40% - Énfasis6 2 4 3" xfId="2120"/>
    <cellStyle name="40% - Énfasis6 2 4 4" xfId="2121"/>
    <cellStyle name="40% - Énfasis6 2 5" xfId="2122"/>
    <cellStyle name="40% - Énfasis6 2 5 2" xfId="2123"/>
    <cellStyle name="40% - Énfasis6 2 5 3" xfId="2124"/>
    <cellStyle name="40% - Énfasis6 3" xfId="39"/>
    <cellStyle name="40% - Énfasis6 3 2" xfId="1590"/>
    <cellStyle name="40% - Énfasis6 3 2 2" xfId="2127"/>
    <cellStyle name="40% - Énfasis6 3 2 3" xfId="2128"/>
    <cellStyle name="40% - Énfasis6 3 2 4" xfId="2129"/>
    <cellStyle name="40% - Énfasis6 3 2 5" xfId="2126"/>
    <cellStyle name="40% - Énfasis6 3 3" xfId="2130"/>
    <cellStyle name="40% - Énfasis6 3 4" xfId="2131"/>
    <cellStyle name="40% - Énfasis6 3 5" xfId="2132"/>
    <cellStyle name="40% - Énfasis6 3 6" xfId="2125"/>
    <cellStyle name="40% - Énfasis6 4" xfId="40"/>
    <cellStyle name="40% - Énfasis6 5" xfId="2133"/>
    <cellStyle name="40% - Énfasis6 5 2" xfId="2134"/>
    <cellStyle name="40% - Énfasis6 5 3" xfId="2135"/>
    <cellStyle name="40% - Énfasis6 5 4" xfId="2136"/>
    <cellStyle name="40% - Énfasis6 6" xfId="2137"/>
    <cellStyle name="40% - Énfasis6 6 2" xfId="2138"/>
    <cellStyle name="40% - Énfasis6 6 3" xfId="2139"/>
    <cellStyle name="40% - Énfasis6 6 4" xfId="2140"/>
    <cellStyle name="40% - Énfasis6 7" xfId="2141"/>
    <cellStyle name="40% - Énfasis6 7 2" xfId="2142"/>
    <cellStyle name="40% - Énfasis6 7 3" xfId="2143"/>
    <cellStyle name="40% - Énfasis6 8" xfId="2144"/>
    <cellStyle name="40% - Énfasis6 9" xfId="2109"/>
    <cellStyle name="60% - Accent1" xfId="1530"/>
    <cellStyle name="60% - Accent2" xfId="1531"/>
    <cellStyle name="60% - Accent3" xfId="1532"/>
    <cellStyle name="60% - Accent4" xfId="1533"/>
    <cellStyle name="60% - Accent5" xfId="1534"/>
    <cellStyle name="60% - Accent6" xfId="1535"/>
    <cellStyle name="60% - Énfasis1" xfId="1669" builtinId="32" customBuiltin="1"/>
    <cellStyle name="60% - Énfasis1 2" xfId="41"/>
    <cellStyle name="60% - Énfasis1 2 2" xfId="1178"/>
    <cellStyle name="60% - Énfasis1 2 2 2" xfId="1591"/>
    <cellStyle name="60% - Énfasis1 2 2 2 2" xfId="2147"/>
    <cellStyle name="60% - Énfasis1 2 2 3" xfId="2148"/>
    <cellStyle name="60% - Énfasis1 2 2 4" xfId="2146"/>
    <cellStyle name="60% - Énfasis1 2 3" xfId="2149"/>
    <cellStyle name="60% - Énfasis1 2 3 2" xfId="2150"/>
    <cellStyle name="60% - Énfasis1 2 3 3" xfId="2151"/>
    <cellStyle name="60% - Énfasis1 2 3 4" xfId="2152"/>
    <cellStyle name="60% - Énfasis1 3" xfId="42"/>
    <cellStyle name="60% - Énfasis1 3 2" xfId="2154"/>
    <cellStyle name="60% - Énfasis1 3 3" xfId="2155"/>
    <cellStyle name="60% - Énfasis1 3 4" xfId="2156"/>
    <cellStyle name="60% - Énfasis1 3 5" xfId="2153"/>
    <cellStyle name="60% - Énfasis1 4" xfId="43"/>
    <cellStyle name="60% - Énfasis1 5" xfId="2157"/>
    <cellStyle name="60% - Énfasis1 5 2" xfId="3808"/>
    <cellStyle name="60% - Énfasis1 5 3" xfId="3573"/>
    <cellStyle name="60% - Énfasis1 6" xfId="2145"/>
    <cellStyle name="60% - Énfasis2" xfId="1673" builtinId="36" customBuiltin="1"/>
    <cellStyle name="60% - Énfasis2 2" xfId="44"/>
    <cellStyle name="60% - Énfasis2 2 2" xfId="1179"/>
    <cellStyle name="60% - Énfasis2 2 2 2" xfId="1592"/>
    <cellStyle name="60% - Énfasis2 2 2 2 2" xfId="2158"/>
    <cellStyle name="60% - Énfasis2 2 3" xfId="2159"/>
    <cellStyle name="60% - Énfasis2 3" xfId="45"/>
    <cellStyle name="60% - Énfasis2 4" xfId="46"/>
    <cellStyle name="60% - Énfasis2 5" xfId="3574"/>
    <cellStyle name="60% - Énfasis3" xfId="1677" builtinId="40" customBuiltin="1"/>
    <cellStyle name="60% - Énfasis3 2" xfId="47"/>
    <cellStyle name="60% - Énfasis3 2 2" xfId="1180"/>
    <cellStyle name="60% - Énfasis3 2 2 2" xfId="1593"/>
    <cellStyle name="60% - Énfasis3 2 2 2 2" xfId="2162"/>
    <cellStyle name="60% - Énfasis3 2 2 3" xfId="2163"/>
    <cellStyle name="60% - Énfasis3 2 2 4" xfId="2161"/>
    <cellStyle name="60% - Énfasis3 2 3" xfId="2164"/>
    <cellStyle name="60% - Énfasis3 2 3 2" xfId="2165"/>
    <cellStyle name="60% - Énfasis3 2 3 3" xfId="2166"/>
    <cellStyle name="60% - Énfasis3 2 3 4" xfId="2167"/>
    <cellStyle name="60% - Énfasis3 3" xfId="48"/>
    <cellStyle name="60% - Énfasis3 3 2" xfId="2169"/>
    <cellStyle name="60% - Énfasis3 3 3" xfId="2170"/>
    <cellStyle name="60% - Énfasis3 3 4" xfId="2171"/>
    <cellStyle name="60% - Énfasis3 3 5" xfId="2168"/>
    <cellStyle name="60% - Énfasis3 4" xfId="49"/>
    <cellStyle name="60% - Énfasis3 5" xfId="2172"/>
    <cellStyle name="60% - Énfasis3 5 2" xfId="3809"/>
    <cellStyle name="60% - Énfasis3 5 3" xfId="3575"/>
    <cellStyle name="60% - Énfasis3 6" xfId="2160"/>
    <cellStyle name="60% - Énfasis4" xfId="1681" builtinId="44" customBuiltin="1"/>
    <cellStyle name="60% - Énfasis4 2" xfId="50"/>
    <cellStyle name="60% - Énfasis4 2 2" xfId="1181"/>
    <cellStyle name="60% - Énfasis4 2 2 2" xfId="1594"/>
    <cellStyle name="60% - Énfasis4 2 2 2 2" xfId="2175"/>
    <cellStyle name="60% - Énfasis4 2 2 3" xfId="2176"/>
    <cellStyle name="60% - Énfasis4 2 2 4" xfId="2174"/>
    <cellStyle name="60% - Énfasis4 2 3" xfId="2177"/>
    <cellStyle name="60% - Énfasis4 2 3 2" xfId="2178"/>
    <cellStyle name="60% - Énfasis4 2 3 3" xfId="2179"/>
    <cellStyle name="60% - Énfasis4 2 3 4" xfId="2180"/>
    <cellStyle name="60% - Énfasis4 3" xfId="51"/>
    <cellStyle name="60% - Énfasis4 3 2" xfId="2182"/>
    <cellStyle name="60% - Énfasis4 3 3" xfId="2183"/>
    <cellStyle name="60% - Énfasis4 3 4" xfId="2184"/>
    <cellStyle name="60% - Énfasis4 3 5" xfId="2181"/>
    <cellStyle name="60% - Énfasis4 4" xfId="52"/>
    <cellStyle name="60% - Énfasis4 5" xfId="2185"/>
    <cellStyle name="60% - Énfasis4 5 2" xfId="3810"/>
    <cellStyle name="60% - Énfasis4 5 3" xfId="3576"/>
    <cellStyle name="60% - Énfasis4 6" xfId="2173"/>
    <cellStyle name="60% - Énfasis5" xfId="1685" builtinId="48" customBuiltin="1"/>
    <cellStyle name="60% - Énfasis5 2" xfId="53"/>
    <cellStyle name="60% - Énfasis5 2 2" xfId="1182"/>
    <cellStyle name="60% - Énfasis5 2 2 2" xfId="1595"/>
    <cellStyle name="60% - Énfasis5 2 2 2 2" xfId="2186"/>
    <cellStyle name="60% - Énfasis5 2 3" xfId="2187"/>
    <cellStyle name="60% - Énfasis5 3" xfId="54"/>
    <cellStyle name="60% - Énfasis5 4" xfId="55"/>
    <cellStyle name="60% - Énfasis5 5" xfId="3577"/>
    <cellStyle name="60% - Énfasis6" xfId="1689" builtinId="52" customBuiltin="1"/>
    <cellStyle name="60% - Énfasis6 2" xfId="56"/>
    <cellStyle name="60% - Énfasis6 2 2" xfId="1183"/>
    <cellStyle name="60% - Énfasis6 2 2 2" xfId="1596"/>
    <cellStyle name="60% - Énfasis6 2 2 2 2" xfId="2190"/>
    <cellStyle name="60% - Énfasis6 2 2 3" xfId="2191"/>
    <cellStyle name="60% - Énfasis6 2 2 4" xfId="2189"/>
    <cellStyle name="60% - Énfasis6 2 3" xfId="2192"/>
    <cellStyle name="60% - Énfasis6 2 3 2" xfId="2193"/>
    <cellStyle name="60% - Énfasis6 2 3 3" xfId="2194"/>
    <cellStyle name="60% - Énfasis6 2 3 4" xfId="2195"/>
    <cellStyle name="60% - Énfasis6 3" xfId="57"/>
    <cellStyle name="60% - Énfasis6 3 2" xfId="2197"/>
    <cellStyle name="60% - Énfasis6 3 3" xfId="2198"/>
    <cellStyle name="60% - Énfasis6 3 4" xfId="2199"/>
    <cellStyle name="60% - Énfasis6 3 5" xfId="2196"/>
    <cellStyle name="60% - Énfasis6 4" xfId="58"/>
    <cellStyle name="60% - Énfasis6 5" xfId="2200"/>
    <cellStyle name="60% - Énfasis6 5 2" xfId="3811"/>
    <cellStyle name="60% - Énfasis6 5 3" xfId="3578"/>
    <cellStyle name="60% - Énfasis6 6" xfId="2188"/>
    <cellStyle name="Accent1" xfId="1536"/>
    <cellStyle name="Accent2" xfId="1537"/>
    <cellStyle name="Accent3" xfId="1538"/>
    <cellStyle name="Accent4" xfId="1539"/>
    <cellStyle name="Accent5" xfId="1540"/>
    <cellStyle name="Accent6" xfId="1541"/>
    <cellStyle name="Bad" xfId="1542"/>
    <cellStyle name="Buena 2" xfId="59"/>
    <cellStyle name="Buena 2 2" xfId="1184"/>
    <cellStyle name="Buena 2 2 2" xfId="1597"/>
    <cellStyle name="Buena 2 2 2 2" xfId="2201"/>
    <cellStyle name="Buena 2 3" xfId="2202"/>
    <cellStyle name="Buena 3" xfId="60"/>
    <cellStyle name="Buena 4" xfId="61"/>
    <cellStyle name="Bueno" xfId="1655" builtinId="26" customBuiltin="1"/>
    <cellStyle name="Calculation" xfId="1543"/>
    <cellStyle name="Cálculo" xfId="1660" builtinId="22" customBuiltin="1"/>
    <cellStyle name="Cálculo 2" xfId="62"/>
    <cellStyle name="Cálculo 2 2" xfId="1185"/>
    <cellStyle name="Cálculo 2 2 2" xfId="1598"/>
    <cellStyle name="Cálculo 2 2 2 2" xfId="2205"/>
    <cellStyle name="Cálculo 2 2 3" xfId="2206"/>
    <cellStyle name="Cálculo 2 2 4" xfId="2204"/>
    <cellStyle name="Cálculo 2 3" xfId="2207"/>
    <cellStyle name="Cálculo 2 3 2" xfId="2208"/>
    <cellStyle name="Cálculo 2 3 3" xfId="2209"/>
    <cellStyle name="Cálculo 2 3 4" xfId="2210"/>
    <cellStyle name="Cálculo 3" xfId="63"/>
    <cellStyle name="Cálculo 3 2" xfId="2212"/>
    <cellStyle name="Cálculo 3 3" xfId="2213"/>
    <cellStyle name="Cálculo 3 4" xfId="2214"/>
    <cellStyle name="Cálculo 3 5" xfId="2211"/>
    <cellStyle name="Cálculo 4" xfId="64"/>
    <cellStyle name="Cálculo 5" xfId="2215"/>
    <cellStyle name="Cálculo 6" xfId="2203"/>
    <cellStyle name="Celda de comprobación" xfId="1662" builtinId="23" customBuiltin="1"/>
    <cellStyle name="Celda de comprobación 2" xfId="65"/>
    <cellStyle name="Celda de comprobación 2 2" xfId="1186"/>
    <cellStyle name="Celda de comprobación 2 2 2" xfId="1599"/>
    <cellStyle name="Celda de comprobación 2 2 2 2" xfId="2216"/>
    <cellStyle name="Celda de comprobación 2 3" xfId="2217"/>
    <cellStyle name="Celda de comprobación 3" xfId="66"/>
    <cellStyle name="Celda de comprobación 4" xfId="67"/>
    <cellStyle name="Celda vinculada" xfId="1661" builtinId="24" customBuiltin="1"/>
    <cellStyle name="Celda vinculada 2" xfId="68"/>
    <cellStyle name="Celda vinculada 2 2" xfId="1600"/>
    <cellStyle name="Celda vinculada 3" xfId="69"/>
    <cellStyle name="Celda vinculada 4" xfId="70"/>
    <cellStyle name="Check Cell" xfId="1544"/>
    <cellStyle name="Encabezado 1" xfId="1651" builtinId="16" customBuiltin="1"/>
    <cellStyle name="Encabezado 4" xfId="1654" builtinId="19" customBuiltin="1"/>
    <cellStyle name="Encabezado 4 2" xfId="71"/>
    <cellStyle name="Encabezado 4 2 2" xfId="1601"/>
    <cellStyle name="Encabezado 4 2 2 2" xfId="2220"/>
    <cellStyle name="Encabezado 4 2 2 2 2" xfId="2221"/>
    <cellStyle name="Encabezado 4 2 2 3" xfId="2222"/>
    <cellStyle name="Encabezado 4 2 2 3 2" xfId="2223"/>
    <cellStyle name="Encabezado 4 2 2 4" xfId="2224"/>
    <cellStyle name="Encabezado 4 2 2 5" xfId="2219"/>
    <cellStyle name="Encabezado 4 3" xfId="72"/>
    <cellStyle name="Encabezado 4 3 2" xfId="2226"/>
    <cellStyle name="Encabezado 4 3 2 2" xfId="2227"/>
    <cellStyle name="Encabezado 4 3 3" xfId="2228"/>
    <cellStyle name="Encabezado 4 3 3 2" xfId="2229"/>
    <cellStyle name="Encabezado 4 3 4" xfId="2230"/>
    <cellStyle name="Encabezado 4 3 5" xfId="2225"/>
    <cellStyle name="Encabezado 4 4" xfId="73"/>
    <cellStyle name="Encabezado 4 5" xfId="2231"/>
    <cellStyle name="Encabezado 4 5 2" xfId="2232"/>
    <cellStyle name="Encabezado 4 6" xfId="2218"/>
    <cellStyle name="Énfasis1" xfId="1666" builtinId="29" customBuiltin="1"/>
    <cellStyle name="Énfasis1 2" xfId="74"/>
    <cellStyle name="Énfasis1 2 2" xfId="75"/>
    <cellStyle name="Énfasis1 2 2 2" xfId="2235"/>
    <cellStyle name="Énfasis1 2 2 3" xfId="2236"/>
    <cellStyle name="Énfasis1 2 2 4" xfId="2237"/>
    <cellStyle name="Énfasis1 2 2 5" xfId="2234"/>
    <cellStyle name="Énfasis1 2 3" xfId="1187"/>
    <cellStyle name="Énfasis1 3" xfId="76"/>
    <cellStyle name="Énfasis1 3 2" xfId="77"/>
    <cellStyle name="Énfasis1 3 2 2" xfId="78"/>
    <cellStyle name="Énfasis1 3 2 2 2" xfId="2240"/>
    <cellStyle name="Énfasis1 3 2 2 3" xfId="2241"/>
    <cellStyle name="Énfasis1 3 2 2 4" xfId="2242"/>
    <cellStyle name="Énfasis1 3 2 2 5" xfId="2239"/>
    <cellStyle name="Énfasis1 3 3" xfId="79"/>
    <cellStyle name="Énfasis1 3 3 2" xfId="2244"/>
    <cellStyle name="Énfasis1 3 3 3" xfId="2245"/>
    <cellStyle name="Énfasis1 3 3 4" xfId="2246"/>
    <cellStyle name="Énfasis1 3 3 5" xfId="2243"/>
    <cellStyle name="Énfasis1 3 4" xfId="2247"/>
    <cellStyle name="Énfasis1 3 5" xfId="2248"/>
    <cellStyle name="Énfasis1 3 6" xfId="2249"/>
    <cellStyle name="Énfasis1 3 7" xfId="2238"/>
    <cellStyle name="Énfasis1 4" xfId="80"/>
    <cellStyle name="Énfasis1 5" xfId="2250"/>
    <cellStyle name="Énfasis1 6" xfId="2233"/>
    <cellStyle name="Énfasis2" xfId="1670" builtinId="33" customBuiltin="1"/>
    <cellStyle name="Énfasis2 2" xfId="81"/>
    <cellStyle name="Énfasis2 2 2" xfId="1188"/>
    <cellStyle name="Énfasis2 2 2 2" xfId="1602"/>
    <cellStyle name="Énfasis2 2 2 2 2" xfId="2253"/>
    <cellStyle name="Énfasis2 2 2 3" xfId="2254"/>
    <cellStyle name="Énfasis2 2 2 4" xfId="2252"/>
    <cellStyle name="Énfasis2 2 3" xfId="2255"/>
    <cellStyle name="Énfasis2 2 3 2" xfId="2256"/>
    <cellStyle name="Énfasis2 2 3 3" xfId="2257"/>
    <cellStyle name="Énfasis2 2 3 4" xfId="2258"/>
    <cellStyle name="Énfasis2 3" xfId="82"/>
    <cellStyle name="Énfasis2 3 2" xfId="2260"/>
    <cellStyle name="Énfasis2 3 3" xfId="2261"/>
    <cellStyle name="Énfasis2 3 4" xfId="2262"/>
    <cellStyle name="Énfasis2 3 5" xfId="2259"/>
    <cellStyle name="Énfasis2 4" xfId="83"/>
    <cellStyle name="Énfasis2 5" xfId="2263"/>
    <cellStyle name="Énfasis2 6" xfId="2251"/>
    <cellStyle name="Énfasis3" xfId="1674" builtinId="37" customBuiltin="1"/>
    <cellStyle name="Énfasis3 2" xfId="84"/>
    <cellStyle name="Énfasis3 2 2" xfId="1189"/>
    <cellStyle name="Énfasis3 2 2 2" xfId="1603"/>
    <cellStyle name="Énfasis3 2 2 2 2" xfId="2266"/>
    <cellStyle name="Énfasis3 2 2 3" xfId="2267"/>
    <cellStyle name="Énfasis3 2 2 4" xfId="2265"/>
    <cellStyle name="Énfasis3 2 3" xfId="2268"/>
    <cellStyle name="Énfasis3 2 3 2" xfId="2269"/>
    <cellStyle name="Énfasis3 2 3 3" xfId="2270"/>
    <cellStyle name="Énfasis3 2 3 4" xfId="2271"/>
    <cellStyle name="Énfasis3 3" xfId="85"/>
    <cellStyle name="Énfasis3 3 2" xfId="2273"/>
    <cellStyle name="Énfasis3 3 3" xfId="2274"/>
    <cellStyle name="Énfasis3 3 4" xfId="2275"/>
    <cellStyle name="Énfasis3 3 5" xfId="2272"/>
    <cellStyle name="Énfasis3 4" xfId="86"/>
    <cellStyle name="Énfasis3 5" xfId="2276"/>
    <cellStyle name="Énfasis3 6" xfId="2264"/>
    <cellStyle name="Énfasis4" xfId="1678" builtinId="41" customBuiltin="1"/>
    <cellStyle name="Énfasis4 2" xfId="87"/>
    <cellStyle name="Énfasis4 2 2" xfId="1190"/>
    <cellStyle name="Énfasis4 2 2 2" xfId="1604"/>
    <cellStyle name="Énfasis4 2 2 2 2" xfId="2279"/>
    <cellStyle name="Énfasis4 2 2 3" xfId="2280"/>
    <cellStyle name="Énfasis4 2 2 4" xfId="2278"/>
    <cellStyle name="Énfasis4 2 3" xfId="2281"/>
    <cellStyle name="Énfasis4 2 3 2" xfId="2282"/>
    <cellStyle name="Énfasis4 2 3 3" xfId="2283"/>
    <cellStyle name="Énfasis4 2 3 4" xfId="2284"/>
    <cellStyle name="Énfasis4 3" xfId="88"/>
    <cellStyle name="Énfasis4 3 2" xfId="2286"/>
    <cellStyle name="Énfasis4 3 3" xfId="2287"/>
    <cellStyle name="Énfasis4 3 4" xfId="2288"/>
    <cellStyle name="Énfasis4 3 5" xfId="2285"/>
    <cellStyle name="Énfasis4 4" xfId="89"/>
    <cellStyle name="Énfasis4 5" xfId="2289"/>
    <cellStyle name="Énfasis4 6" xfId="2277"/>
    <cellStyle name="Énfasis5" xfId="1682" builtinId="45" customBuiltin="1"/>
    <cellStyle name="Énfasis5 2" xfId="90"/>
    <cellStyle name="Énfasis5 2 2" xfId="1191"/>
    <cellStyle name="Énfasis5 2 2 2" xfId="1605"/>
    <cellStyle name="Énfasis5 2 2 2 2" xfId="2290"/>
    <cellStyle name="Énfasis5 2 3" xfId="2291"/>
    <cellStyle name="Énfasis5 3" xfId="91"/>
    <cellStyle name="Énfasis5 4" xfId="92"/>
    <cellStyle name="Énfasis6" xfId="1686" builtinId="49" customBuiltin="1"/>
    <cellStyle name="Énfasis6 2" xfId="93"/>
    <cellStyle name="Énfasis6 2 2" xfId="1192"/>
    <cellStyle name="Énfasis6 2 2 2" xfId="1606"/>
    <cellStyle name="Énfasis6 2 2 2 2" xfId="2294"/>
    <cellStyle name="Énfasis6 2 2 3" xfId="2295"/>
    <cellStyle name="Énfasis6 2 2 4" xfId="2293"/>
    <cellStyle name="Énfasis6 2 3" xfId="2296"/>
    <cellStyle name="Énfasis6 2 3 2" xfId="2297"/>
    <cellStyle name="Énfasis6 2 3 3" xfId="2298"/>
    <cellStyle name="Énfasis6 2 3 4" xfId="2299"/>
    <cellStyle name="Énfasis6 3" xfId="94"/>
    <cellStyle name="Énfasis6 3 2" xfId="2301"/>
    <cellStyle name="Énfasis6 3 3" xfId="2302"/>
    <cellStyle name="Énfasis6 3 4" xfId="2303"/>
    <cellStyle name="Énfasis6 3 5" xfId="2300"/>
    <cellStyle name="Énfasis6 4" xfId="95"/>
    <cellStyle name="Énfasis6 5" xfId="2304"/>
    <cellStyle name="Énfasis6 6" xfId="2292"/>
    <cellStyle name="Entrada" xfId="1658" builtinId="20" customBuiltin="1"/>
    <cellStyle name="Entrada 2" xfId="96"/>
    <cellStyle name="Entrada 2 2" xfId="1193"/>
    <cellStyle name="Entrada 2 2 2" xfId="1607"/>
    <cellStyle name="Entrada 2 2 2 2" xfId="2305"/>
    <cellStyle name="Entrada 2 3" xfId="2306"/>
    <cellStyle name="Entrada 3" xfId="97"/>
    <cellStyle name="Entrada 4" xfId="98"/>
    <cellStyle name="Estilo 1" xfId="1545"/>
    <cellStyle name="Estilo 1 2" xfId="2308"/>
    <cellStyle name="Estilo 1 3" xfId="2309"/>
    <cellStyle name="Estilo 1 4" xfId="2310"/>
    <cellStyle name="Estilo 1 5" xfId="2307"/>
    <cellStyle name="Estilo 2" xfId="1546"/>
    <cellStyle name="Estilo 2 2" xfId="2312"/>
    <cellStyle name="Estilo 2 3" xfId="2313"/>
    <cellStyle name="Estilo 2 4" xfId="2314"/>
    <cellStyle name="Estilo 2 5" xfId="2311"/>
    <cellStyle name="Euro" xfId="99"/>
    <cellStyle name="Euro 10" xfId="100"/>
    <cellStyle name="Euro 10 2" xfId="101"/>
    <cellStyle name="Euro 10 3" xfId="2315"/>
    <cellStyle name="Euro 11" xfId="102"/>
    <cellStyle name="Euro 11 2" xfId="103"/>
    <cellStyle name="Euro 11 3" xfId="2316"/>
    <cellStyle name="Euro 12" xfId="104"/>
    <cellStyle name="Euro 12 2" xfId="105"/>
    <cellStyle name="Euro 12 3" xfId="2317"/>
    <cellStyle name="Euro 13" xfId="106"/>
    <cellStyle name="Euro 13 2" xfId="107"/>
    <cellStyle name="Euro 14" xfId="108"/>
    <cellStyle name="Euro 14 2" xfId="109"/>
    <cellStyle name="Euro 15" xfId="110"/>
    <cellStyle name="Euro 15 2" xfId="111"/>
    <cellStyle name="Euro 16" xfId="112"/>
    <cellStyle name="Euro 17" xfId="389"/>
    <cellStyle name="Euro 2" xfId="113"/>
    <cellStyle name="Euro 2 2" xfId="114"/>
    <cellStyle name="Euro 2 2 2" xfId="1194"/>
    <cellStyle name="Euro 2 3" xfId="440"/>
    <cellStyle name="Euro 2 4" xfId="1547"/>
    <cellStyle name="Euro 3" xfId="115"/>
    <cellStyle name="Euro 3 2" xfId="116"/>
    <cellStyle name="Euro 3 2 2" xfId="1196"/>
    <cellStyle name="Euro 3 3" xfId="1195"/>
    <cellStyle name="Euro 3 4" xfId="1548"/>
    <cellStyle name="Euro 4" xfId="117"/>
    <cellStyle name="Euro 4 2" xfId="118"/>
    <cellStyle name="Euro 4 3" xfId="2318"/>
    <cellStyle name="Euro 5" xfId="119"/>
    <cellStyle name="Euro 5 2" xfId="120"/>
    <cellStyle name="Euro 5 3" xfId="2319"/>
    <cellStyle name="Euro 6" xfId="121"/>
    <cellStyle name="Euro 6 2" xfId="122"/>
    <cellStyle name="Euro 6 3" xfId="2320"/>
    <cellStyle name="Euro 7" xfId="123"/>
    <cellStyle name="Euro 7 2" xfId="124"/>
    <cellStyle name="Euro 7 3" xfId="2321"/>
    <cellStyle name="Euro 8" xfId="125"/>
    <cellStyle name="Euro 8 2" xfId="126"/>
    <cellStyle name="Euro 8 3" xfId="2322"/>
    <cellStyle name="Euro 9" xfId="127"/>
    <cellStyle name="Euro 9 2" xfId="128"/>
    <cellStyle name="Euro 9 3" xfId="2323"/>
    <cellStyle name="Euro_010910HS" xfId="129"/>
    <cellStyle name="Explanatory Text" xfId="1549"/>
    <cellStyle name="Good" xfId="1550"/>
    <cellStyle name="Heading 1" xfId="1551"/>
    <cellStyle name="Heading 2" xfId="1552"/>
    <cellStyle name="Heading 3" xfId="1553"/>
    <cellStyle name="Heading 4" xfId="1554"/>
    <cellStyle name="Hipervínculo" xfId="431" builtinId="8"/>
    <cellStyle name="Hipervínculo 2" xfId="130"/>
    <cellStyle name="Hipervínculo 2 2" xfId="1197"/>
    <cellStyle name="Hipervínculo 3" xfId="131"/>
    <cellStyle name="Hipervínculo 3 2" xfId="1198"/>
    <cellStyle name="Hipervínculo 4" xfId="1199"/>
    <cellStyle name="Hipervínculo 5" xfId="2324"/>
    <cellStyle name="Incorrecto" xfId="1656" builtinId="27" customBuiltin="1"/>
    <cellStyle name="Incorrecto 2" xfId="132"/>
    <cellStyle name="Incorrecto 2 2" xfId="1200"/>
    <cellStyle name="Incorrecto 2 2 2" xfId="1608"/>
    <cellStyle name="Incorrecto 2 2 2 2" xfId="2327"/>
    <cellStyle name="Incorrecto 2 2 3" xfId="2328"/>
    <cellStyle name="Incorrecto 2 2 4" xfId="2326"/>
    <cellStyle name="Incorrecto 2 3" xfId="2329"/>
    <cellStyle name="Incorrecto 2 3 2" xfId="2330"/>
    <cellStyle name="Incorrecto 2 3 3" xfId="2331"/>
    <cellStyle name="Incorrecto 2 3 4" xfId="2332"/>
    <cellStyle name="Incorrecto 3" xfId="133"/>
    <cellStyle name="Incorrecto 3 2" xfId="2334"/>
    <cellStyle name="Incorrecto 3 3" xfId="2335"/>
    <cellStyle name="Incorrecto 3 4" xfId="2336"/>
    <cellStyle name="Incorrecto 3 5" xfId="2333"/>
    <cellStyle name="Incorrecto 4" xfId="134"/>
    <cellStyle name="Incorrecto 5" xfId="2337"/>
    <cellStyle name="Incorrecto 6" xfId="2325"/>
    <cellStyle name="Input" xfId="1555"/>
    <cellStyle name="Linked Cell" xfId="1556"/>
    <cellStyle name="Millares [0] 2" xfId="136"/>
    <cellStyle name="Millares 10" xfId="137"/>
    <cellStyle name="Millares 10 2" xfId="2338"/>
    <cellStyle name="Millares 10 3" xfId="2339"/>
    <cellStyle name="Millares 100" xfId="1611"/>
    <cellStyle name="Millares 100 2" xfId="1757"/>
    <cellStyle name="Millares 101" xfId="1638"/>
    <cellStyle name="Millares 102" xfId="1643"/>
    <cellStyle name="Millares 103" xfId="1640"/>
    <cellStyle name="Millares 104" xfId="1641"/>
    <cellStyle name="Millares 105" xfId="1642"/>
    <cellStyle name="Millares 106" xfId="1644"/>
    <cellStyle name="Millares 107" xfId="1639"/>
    <cellStyle name="Millares 11" xfId="138"/>
    <cellStyle name="Millares 11 2" xfId="2340"/>
    <cellStyle name="Millares 11 3" xfId="2341"/>
    <cellStyle name="Millares 12" xfId="139"/>
    <cellStyle name="Millares 12 2" xfId="2342"/>
    <cellStyle name="Millares 12 3" xfId="2343"/>
    <cellStyle name="Millares 13" xfId="140"/>
    <cellStyle name="Millares 13 2" xfId="2344"/>
    <cellStyle name="Millares 13 3" xfId="2345"/>
    <cellStyle name="Millares 14" xfId="141"/>
    <cellStyle name="Millares 14 2" xfId="2346"/>
    <cellStyle name="Millares 14 3" xfId="2347"/>
    <cellStyle name="Millares 15" xfId="142"/>
    <cellStyle name="Millares 15 2" xfId="2348"/>
    <cellStyle name="Millares 15 3" xfId="2349"/>
    <cellStyle name="Millares 16" xfId="143"/>
    <cellStyle name="Millares 16 2" xfId="2350"/>
    <cellStyle name="Millares 16 3" xfId="2351"/>
    <cellStyle name="Millares 17" xfId="144"/>
    <cellStyle name="Millares 17 2" xfId="2352"/>
    <cellStyle name="Millares 17 3" xfId="2353"/>
    <cellStyle name="Millares 18" xfId="145"/>
    <cellStyle name="Millares 18 2" xfId="2354"/>
    <cellStyle name="Millares 18 3" xfId="2355"/>
    <cellStyle name="Millares 19" xfId="146"/>
    <cellStyle name="Millares 19 2" xfId="2356"/>
    <cellStyle name="Millares 19 3" xfId="2357"/>
    <cellStyle name="Millares 2" xfId="147"/>
    <cellStyle name="Millares 2 10" xfId="1147"/>
    <cellStyle name="Millares 2 10 2" xfId="1737"/>
    <cellStyle name="Millares 2 10 2 2" xfId="3672"/>
    <cellStyle name="Millares 2 10 2 3" xfId="3732"/>
    <cellStyle name="Millares 2 10 2 4" xfId="3792"/>
    <cellStyle name="Millares 2 10 2 5" xfId="3959"/>
    <cellStyle name="Millares 2 10 2 6" xfId="3611"/>
    <cellStyle name="Millares 2 10 3" xfId="3556"/>
    <cellStyle name="Millares 2 11" xfId="1150"/>
    <cellStyle name="Millares 2 11 2" xfId="1516"/>
    <cellStyle name="Millares 2 11 2 2" xfId="1753"/>
    <cellStyle name="Millares 2 11 2 2 2" xfId="3684"/>
    <cellStyle name="Millares 2 11 2 2 3" xfId="3744"/>
    <cellStyle name="Millares 2 11 2 2 4" xfId="3804"/>
    <cellStyle name="Millares 2 11 2 2 5" xfId="3971"/>
    <cellStyle name="Millares 2 11 2 2 6" xfId="3623"/>
    <cellStyle name="Millares 2 11 2 3" xfId="3569"/>
    <cellStyle name="Millares 2 11 3" xfId="1738"/>
    <cellStyle name="Millares 2 11 3 2" xfId="3673"/>
    <cellStyle name="Millares 2 11 3 3" xfId="3733"/>
    <cellStyle name="Millares 2 11 3 4" xfId="3793"/>
    <cellStyle name="Millares 2 11 3 5" xfId="3960"/>
    <cellStyle name="Millares 2 11 3 6" xfId="3612"/>
    <cellStyle name="Millares 2 11 4" xfId="3558"/>
    <cellStyle name="Millares 2 12" xfId="1694"/>
    <cellStyle name="Millares 2 12 2" xfId="3641"/>
    <cellStyle name="Millares 2 12 3" xfId="3701"/>
    <cellStyle name="Millares 2 12 4" xfId="3761"/>
    <cellStyle name="Millares 2 12 5" xfId="3928"/>
    <cellStyle name="Millares 2 12 6" xfId="3580"/>
    <cellStyle name="Millares 2 13" xfId="2358"/>
    <cellStyle name="Millares 2 13 2" xfId="3812"/>
    <cellStyle name="Millares 2 13 3" xfId="3975"/>
    <cellStyle name="Millares 2 13 4" xfId="3628"/>
    <cellStyle name="Millares 2 14" xfId="3688"/>
    <cellStyle name="Millares 2 15" xfId="3748"/>
    <cellStyle name="Millares 2 16" xfId="3915"/>
    <cellStyle name="Millares 2 17" xfId="3525"/>
    <cellStyle name="Millares 2 2" xfId="148"/>
    <cellStyle name="Millares 2 2 2" xfId="149"/>
    <cellStyle name="Millares 2 2 2 2" xfId="444"/>
    <cellStyle name="Millares 2 2 2 2 2" xfId="1203"/>
    <cellStyle name="Millares 2 2 2 2 3" xfId="2360"/>
    <cellStyle name="Millares 2 2 2 2 4" xfId="2359"/>
    <cellStyle name="Millares 2 2 3" xfId="445"/>
    <cellStyle name="Millares 2 2 3 2" xfId="1610"/>
    <cellStyle name="Millares 2 2 3 2 2" xfId="1756"/>
    <cellStyle name="Millares 2 2 3 2 2 2" xfId="3685"/>
    <cellStyle name="Millares 2 2 3 2 2 3" xfId="3745"/>
    <cellStyle name="Millares 2 2 3 2 2 4" xfId="3805"/>
    <cellStyle name="Millares 2 2 3 2 2 5" xfId="3972"/>
    <cellStyle name="Millares 2 2 3 2 2 6" xfId="3624"/>
    <cellStyle name="Millares 2 2 3 2 3" xfId="2362"/>
    <cellStyle name="Millares 2 2 3 2 3 2" xfId="3814"/>
    <cellStyle name="Millares 2 2 3 2 3 3" xfId="3639"/>
    <cellStyle name="Millares 2 2 3 2 4" xfId="3699"/>
    <cellStyle name="Millares 2 2 3 2 5" xfId="3759"/>
    <cellStyle name="Millares 2 2 3 2 6" xfId="3926"/>
    <cellStyle name="Millares 2 2 3 2 7" xfId="3570"/>
    <cellStyle name="Millares 2 2 3 3" xfId="2361"/>
    <cellStyle name="Millares 2 2 3 3 2" xfId="3976"/>
    <cellStyle name="Millares 2 2 3 3 3" xfId="3813"/>
    <cellStyle name="Millares 2 2 4" xfId="443"/>
    <cellStyle name="Millares 2 2 4 2" xfId="1204"/>
    <cellStyle name="Millares 2 2 4 3" xfId="2364"/>
    <cellStyle name="Millares 2 2 4 3 2" xfId="2365"/>
    <cellStyle name="Millares 2 2 4 3 2 2" xfId="2366"/>
    <cellStyle name="Millares 2 2 4 3 3" xfId="2367"/>
    <cellStyle name="Millares 2 2 4 3 3 2" xfId="2368"/>
    <cellStyle name="Millares 2 2 4 3 4" xfId="2369"/>
    <cellStyle name="Millares 2 2 4 4" xfId="2370"/>
    <cellStyle name="Millares 2 2 4 5" xfId="2371"/>
    <cellStyle name="Millares 2 2 4 5 2" xfId="2372"/>
    <cellStyle name="Millares 2 2 4 6" xfId="2373"/>
    <cellStyle name="Millares 2 2 4 6 2" xfId="2374"/>
    <cellStyle name="Millares 2 2 4 7" xfId="2375"/>
    <cellStyle name="Millares 2 2 4 8" xfId="2363"/>
    <cellStyle name="Millares 2 2 5" xfId="1202"/>
    <cellStyle name="Millares 2 2 5 2" xfId="2377"/>
    <cellStyle name="Millares 2 2 5 2 2" xfId="2378"/>
    <cellStyle name="Millares 2 2 5 2 2 2" xfId="2379"/>
    <cellStyle name="Millares 2 2 5 2 3" xfId="2380"/>
    <cellStyle name="Millares 2 2 5 2 3 2" xfId="2381"/>
    <cellStyle name="Millares 2 2 5 2 4" xfId="2382"/>
    <cellStyle name="Millares 2 2 5 3" xfId="2383"/>
    <cellStyle name="Millares 2 2 5 3 2" xfId="2384"/>
    <cellStyle name="Millares 2 2 5 4" xfId="2385"/>
    <cellStyle name="Millares 2 2 5 4 2" xfId="2386"/>
    <cellStyle name="Millares 2 2 5 5" xfId="2387"/>
    <cellStyle name="Millares 2 2 5 6" xfId="2376"/>
    <cellStyle name="Millares 2 2 6" xfId="2388"/>
    <cellStyle name="Millares 2 2 6 2" xfId="3977"/>
    <cellStyle name="Millares 2 2 6 3" xfId="3815"/>
    <cellStyle name="Millares 2 3" xfId="150"/>
    <cellStyle name="Millares 2 3 2" xfId="151"/>
    <cellStyle name="Millares 2 3 2 2" xfId="1205"/>
    <cellStyle name="Millares 2 3 2 2 2" xfId="2390"/>
    <cellStyle name="Millares 2 3 2 2 3" xfId="2389"/>
    <cellStyle name="Millares 2 3 3" xfId="1206"/>
    <cellStyle name="Millares 2 3 3 2" xfId="2392"/>
    <cellStyle name="Millares 2 3 3 3" xfId="2391"/>
    <cellStyle name="Millares 2 4" xfId="152"/>
    <cellStyle name="Millares 2 4 2" xfId="153"/>
    <cellStyle name="Millares 2 4 2 2" xfId="1207"/>
    <cellStyle name="Millares 2 4 2 2 2" xfId="2394"/>
    <cellStyle name="Millares 2 4 2 2 3" xfId="2393"/>
    <cellStyle name="Millares 2 4 3" xfId="446"/>
    <cellStyle name="Millares 2 4 3 2" xfId="1208"/>
    <cellStyle name="Millares 2 4 3 3" xfId="2396"/>
    <cellStyle name="Millares 2 4 3 4" xfId="2395"/>
    <cellStyle name="Millares 2 5" xfId="154"/>
    <cellStyle name="Millares 2 5 2" xfId="155"/>
    <cellStyle name="Millares 2 5 3" xfId="447"/>
    <cellStyle name="Millares 2 5 3 2" xfId="2398"/>
    <cellStyle name="Millares 2 5 3 3" xfId="2397"/>
    <cellStyle name="Millares 2 6" xfId="156"/>
    <cellStyle name="Millares 2 6 2" xfId="2399"/>
    <cellStyle name="Millares 2 7" xfId="157"/>
    <cellStyle name="Millares 2 7 2" xfId="2400"/>
    <cellStyle name="Millares 2 8" xfId="158"/>
    <cellStyle name="Millares 2 8 2" xfId="2401"/>
    <cellStyle name="Millares 2 9" xfId="442"/>
    <cellStyle name="Millares 2 9 2" xfId="2403"/>
    <cellStyle name="Millares 2 9 3" xfId="2402"/>
    <cellStyle name="Millares 2 9 3 2" xfId="3978"/>
    <cellStyle name="Millares 2 9 3 3" xfId="3816"/>
    <cellStyle name="Millares 20" xfId="159"/>
    <cellStyle name="Millares 20 2" xfId="1151"/>
    <cellStyle name="Millares 20 2 2" xfId="1739"/>
    <cellStyle name="Millares 20 2 2 2" xfId="2405"/>
    <cellStyle name="Millares 20 2 2 2 2" xfId="3818"/>
    <cellStyle name="Millares 20 2 2 2 3" xfId="3980"/>
    <cellStyle name="Millares 20 2 2 2 4" xfId="3674"/>
    <cellStyle name="Millares 20 2 2 3" xfId="3734"/>
    <cellStyle name="Millares 20 2 2 4" xfId="3794"/>
    <cellStyle name="Millares 20 2 2 5" xfId="3961"/>
    <cellStyle name="Millares 20 2 2 6" xfId="3613"/>
    <cellStyle name="Millares 20 2 3" xfId="3559"/>
    <cellStyle name="Millares 20 3" xfId="1695"/>
    <cellStyle name="Millares 20 3 2" xfId="2406"/>
    <cellStyle name="Millares 20 3 2 2" xfId="3819"/>
    <cellStyle name="Millares 20 3 2 3" xfId="3981"/>
    <cellStyle name="Millares 20 3 2 4" xfId="3642"/>
    <cellStyle name="Millares 20 3 3" xfId="3702"/>
    <cellStyle name="Millares 20 3 4" xfId="3762"/>
    <cellStyle name="Millares 20 3 5" xfId="3929"/>
    <cellStyle name="Millares 20 3 6" xfId="3581"/>
    <cellStyle name="Millares 20 4" xfId="2404"/>
    <cellStyle name="Millares 20 4 2" xfId="3817"/>
    <cellStyle name="Millares 20 4 3" xfId="3979"/>
    <cellStyle name="Millares 20 4 4" xfId="3629"/>
    <cellStyle name="Millares 20 5" xfId="3689"/>
    <cellStyle name="Millares 20 6" xfId="3749"/>
    <cellStyle name="Millares 20 7" xfId="3916"/>
    <cellStyle name="Millares 20 8" xfId="3526"/>
    <cellStyle name="Millares 21" xfId="160"/>
    <cellStyle name="Millares 21 2" xfId="1152"/>
    <cellStyle name="Millares 21 2 2" xfId="1740"/>
    <cellStyle name="Millares 21 2 2 2" xfId="2408"/>
    <cellStyle name="Millares 21 2 2 2 2" xfId="3821"/>
    <cellStyle name="Millares 21 2 2 2 3" xfId="3983"/>
    <cellStyle name="Millares 21 2 2 2 4" xfId="3675"/>
    <cellStyle name="Millares 21 2 2 3" xfId="3735"/>
    <cellStyle name="Millares 21 2 2 4" xfId="3795"/>
    <cellStyle name="Millares 21 2 2 5" xfId="3962"/>
    <cellStyle name="Millares 21 2 2 6" xfId="3614"/>
    <cellStyle name="Millares 21 2 3" xfId="3560"/>
    <cellStyle name="Millares 21 3" xfId="1696"/>
    <cellStyle name="Millares 21 3 2" xfId="2409"/>
    <cellStyle name="Millares 21 3 2 2" xfId="3822"/>
    <cellStyle name="Millares 21 3 2 3" xfId="3984"/>
    <cellStyle name="Millares 21 3 2 4" xfId="3643"/>
    <cellStyle name="Millares 21 3 3" xfId="3703"/>
    <cellStyle name="Millares 21 3 4" xfId="3763"/>
    <cellStyle name="Millares 21 3 5" xfId="3930"/>
    <cellStyle name="Millares 21 3 6" xfId="3582"/>
    <cellStyle name="Millares 21 4" xfId="2407"/>
    <cellStyle name="Millares 21 4 2" xfId="3820"/>
    <cellStyle name="Millares 21 4 3" xfId="3982"/>
    <cellStyle name="Millares 21 4 4" xfId="3630"/>
    <cellStyle name="Millares 21 5" xfId="3690"/>
    <cellStyle name="Millares 21 6" xfId="3750"/>
    <cellStyle name="Millares 21 7" xfId="3917"/>
    <cellStyle name="Millares 21 8" xfId="3527"/>
    <cellStyle name="Millares 22" xfId="161"/>
    <cellStyle name="Millares 22 2" xfId="1153"/>
    <cellStyle name="Millares 22 2 2" xfId="1741"/>
    <cellStyle name="Millares 22 2 2 2" xfId="2411"/>
    <cellStyle name="Millares 22 2 2 2 2" xfId="3824"/>
    <cellStyle name="Millares 22 2 2 2 3" xfId="3986"/>
    <cellStyle name="Millares 22 2 2 2 4" xfId="3676"/>
    <cellStyle name="Millares 22 2 2 3" xfId="3736"/>
    <cellStyle name="Millares 22 2 2 4" xfId="3796"/>
    <cellStyle name="Millares 22 2 2 5" xfId="3963"/>
    <cellStyle name="Millares 22 2 2 6" xfId="3615"/>
    <cellStyle name="Millares 22 2 3" xfId="3561"/>
    <cellStyle name="Millares 22 3" xfId="1697"/>
    <cellStyle name="Millares 22 3 2" xfId="2412"/>
    <cellStyle name="Millares 22 3 2 2" xfId="3825"/>
    <cellStyle name="Millares 22 3 2 3" xfId="3987"/>
    <cellStyle name="Millares 22 3 2 4" xfId="3644"/>
    <cellStyle name="Millares 22 3 3" xfId="3704"/>
    <cellStyle name="Millares 22 3 4" xfId="3764"/>
    <cellStyle name="Millares 22 3 5" xfId="3931"/>
    <cellStyle name="Millares 22 3 6" xfId="3583"/>
    <cellStyle name="Millares 22 4" xfId="2410"/>
    <cellStyle name="Millares 22 4 2" xfId="3823"/>
    <cellStyle name="Millares 22 4 3" xfId="3985"/>
    <cellStyle name="Millares 22 4 4" xfId="3631"/>
    <cellStyle name="Millares 22 5" xfId="3691"/>
    <cellStyle name="Millares 22 6" xfId="3751"/>
    <cellStyle name="Millares 22 7" xfId="3918"/>
    <cellStyle name="Millares 22 8" xfId="3528"/>
    <cellStyle name="Millares 23" xfId="162"/>
    <cellStyle name="Millares 23 2" xfId="1698"/>
    <cellStyle name="Millares 23 2 2" xfId="3645"/>
    <cellStyle name="Millares 23 2 3" xfId="3705"/>
    <cellStyle name="Millares 23 2 4" xfId="3765"/>
    <cellStyle name="Millares 23 2 5" xfId="3932"/>
    <cellStyle name="Millares 23 2 6" xfId="3584"/>
    <cellStyle name="Millares 23 3" xfId="2413"/>
    <cellStyle name="Millares 23 3 2" xfId="3988"/>
    <cellStyle name="Millares 23 3 3" xfId="3826"/>
    <cellStyle name="Millares 23 4" xfId="3529"/>
    <cellStyle name="Millares 24" xfId="163"/>
    <cellStyle name="Millares 24 2" xfId="1699"/>
    <cellStyle name="Millares 24 2 2" xfId="3646"/>
    <cellStyle name="Millares 24 2 3" xfId="3706"/>
    <cellStyle name="Millares 24 2 4" xfId="3766"/>
    <cellStyle name="Millares 24 2 5" xfId="3933"/>
    <cellStyle name="Millares 24 2 6" xfId="3585"/>
    <cellStyle name="Millares 24 3" xfId="2414"/>
    <cellStyle name="Millares 24 3 2" xfId="3989"/>
    <cellStyle name="Millares 24 3 3" xfId="3827"/>
    <cellStyle name="Millares 24 4" xfId="3530"/>
    <cellStyle name="Millares 25" xfId="164"/>
    <cellStyle name="Millares 25 2" xfId="1700"/>
    <cellStyle name="Millares 25 2 2" xfId="3647"/>
    <cellStyle name="Millares 25 2 3" xfId="3707"/>
    <cellStyle name="Millares 25 2 4" xfId="3767"/>
    <cellStyle name="Millares 25 2 5" xfId="3934"/>
    <cellStyle name="Millares 25 2 6" xfId="3586"/>
    <cellStyle name="Millares 25 3" xfId="2415"/>
    <cellStyle name="Millares 25 3 2" xfId="3990"/>
    <cellStyle name="Millares 25 3 3" xfId="3828"/>
    <cellStyle name="Millares 25 4" xfId="3531"/>
    <cellStyle name="Millares 26" xfId="165"/>
    <cellStyle name="Millares 26 2" xfId="1701"/>
    <cellStyle name="Millares 26 2 2" xfId="3648"/>
    <cellStyle name="Millares 26 2 3" xfId="3708"/>
    <cellStyle name="Millares 26 2 4" xfId="3768"/>
    <cellStyle name="Millares 26 2 5" xfId="3935"/>
    <cellStyle name="Millares 26 2 6" xfId="3587"/>
    <cellStyle name="Millares 26 3" xfId="2416"/>
    <cellStyle name="Millares 26 3 2" xfId="3991"/>
    <cellStyle name="Millares 26 3 3" xfId="3829"/>
    <cellStyle name="Millares 26 4" xfId="3532"/>
    <cellStyle name="Millares 27" xfId="166"/>
    <cellStyle name="Millares 27 2" xfId="2417"/>
    <cellStyle name="Millares 27 3" xfId="2418"/>
    <cellStyle name="Millares 28" xfId="167"/>
    <cellStyle name="Millares 28 2" xfId="2419"/>
    <cellStyle name="Millares 28 3" xfId="2420"/>
    <cellStyle name="Millares 29" xfId="168"/>
    <cellStyle name="Millares 29 2" xfId="2421"/>
    <cellStyle name="Millares 29 3" xfId="2422"/>
    <cellStyle name="Millares 3" xfId="169"/>
    <cellStyle name="Millares 3 10" xfId="3919"/>
    <cellStyle name="Millares 3 11" xfId="3533"/>
    <cellStyle name="Millares 3 2" xfId="170"/>
    <cellStyle name="Millares 3 2 2" xfId="1703"/>
    <cellStyle name="Millares 3 2 2 2" xfId="3650"/>
    <cellStyle name="Millares 3 2 2 3" xfId="3710"/>
    <cellStyle name="Millares 3 2 2 4" xfId="3770"/>
    <cellStyle name="Millares 3 2 2 5" xfId="3937"/>
    <cellStyle name="Millares 3 2 2 6" xfId="3589"/>
    <cellStyle name="Millares 3 2 3" xfId="3534"/>
    <cellStyle name="Millares 3 3" xfId="171"/>
    <cellStyle name="Millares 3 4" xfId="427"/>
    <cellStyle name="Millares 3 4 2" xfId="1730"/>
    <cellStyle name="Millares 3 4 2 2" xfId="3669"/>
    <cellStyle name="Millares 3 4 2 3" xfId="3729"/>
    <cellStyle name="Millares 3 4 2 4" xfId="3789"/>
    <cellStyle name="Millares 3 4 2 5" xfId="3956"/>
    <cellStyle name="Millares 3 4 2 6" xfId="3608"/>
    <cellStyle name="Millares 3 4 3" xfId="3553"/>
    <cellStyle name="Millares 3 5" xfId="1691"/>
    <cellStyle name="Millares 3 5 2" xfId="1767"/>
    <cellStyle name="Millares 3 5 2 2" xfId="2426"/>
    <cellStyle name="Millares 3 5 2 2 2" xfId="3833"/>
    <cellStyle name="Millares 3 5 2 2 3" xfId="3995"/>
    <cellStyle name="Millares 3 5 2 2 4" xfId="3687"/>
    <cellStyle name="Millares 3 5 2 3" xfId="2425"/>
    <cellStyle name="Millares 3 5 2 3 2" xfId="3832"/>
    <cellStyle name="Millares 3 5 2 3 3" xfId="3994"/>
    <cellStyle name="Millares 3 5 2 3 4" xfId="3747"/>
    <cellStyle name="Millares 3 5 2 4" xfId="3807"/>
    <cellStyle name="Millares 3 5 2 5" xfId="3974"/>
    <cellStyle name="Millares 3 5 2 6" xfId="3626"/>
    <cellStyle name="Millares 3 5 3" xfId="2427"/>
    <cellStyle name="Millares 3 5 3 2" xfId="2428"/>
    <cellStyle name="Millares 3 5 3 2 2" xfId="3997"/>
    <cellStyle name="Millares 3 5 3 2 3" xfId="3835"/>
    <cellStyle name="Millares 3 5 3 3" xfId="3996"/>
    <cellStyle name="Millares 3 5 3 4" xfId="3834"/>
    <cellStyle name="Millares 3 5 4" xfId="2429"/>
    <cellStyle name="Millares 3 5 4 2" xfId="3998"/>
    <cellStyle name="Millares 3 5 4 3" xfId="3836"/>
    <cellStyle name="Millares 3 5 5" xfId="2430"/>
    <cellStyle name="Millares 3 5 5 2" xfId="3999"/>
    <cellStyle name="Millares 3 5 5 3" xfId="3837"/>
    <cellStyle name="Millares 3 5 6" xfId="2424"/>
    <cellStyle name="Millares 3 5 6 2" xfId="3993"/>
    <cellStyle name="Millares 3 5 6 3" xfId="3831"/>
    <cellStyle name="Millares 3 5 7" xfId="3579"/>
    <cellStyle name="Millares 3 6" xfId="1702"/>
    <cellStyle name="Millares 3 6 2" xfId="2432"/>
    <cellStyle name="Millares 3 6 2 2" xfId="2433"/>
    <cellStyle name="Millares 3 6 2 2 2" xfId="4002"/>
    <cellStyle name="Millares 3 6 2 2 3" xfId="3840"/>
    <cellStyle name="Millares 3 6 2 3" xfId="3839"/>
    <cellStyle name="Millares 3 6 2 4" xfId="4001"/>
    <cellStyle name="Millares 3 6 2 5" xfId="3649"/>
    <cellStyle name="Millares 3 6 3" xfId="2434"/>
    <cellStyle name="Millares 3 6 3 2" xfId="2435"/>
    <cellStyle name="Millares 3 6 3 2 2" xfId="4004"/>
    <cellStyle name="Millares 3 6 3 2 3" xfId="3842"/>
    <cellStyle name="Millares 3 6 3 3" xfId="3841"/>
    <cellStyle name="Millares 3 6 3 4" xfId="4003"/>
    <cellStyle name="Millares 3 6 3 5" xfId="3709"/>
    <cellStyle name="Millares 3 6 4" xfId="2436"/>
    <cellStyle name="Millares 3 6 4 2" xfId="4005"/>
    <cellStyle name="Millares 3 6 4 3" xfId="3843"/>
    <cellStyle name="Millares 3 6 5" xfId="2431"/>
    <cellStyle name="Millares 3 6 5 2" xfId="4000"/>
    <cellStyle name="Millares 3 6 5 3" xfId="3838"/>
    <cellStyle name="Millares 3 6 6" xfId="3769"/>
    <cellStyle name="Millares 3 6 7" xfId="3936"/>
    <cellStyle name="Millares 3 6 8" xfId="3588"/>
    <cellStyle name="Millares 3 7" xfId="2437"/>
    <cellStyle name="Millares 3 7 2" xfId="2438"/>
    <cellStyle name="Millares 3 7 2 2" xfId="2439"/>
    <cellStyle name="Millares 3 7 2 2 2" xfId="4008"/>
    <cellStyle name="Millares 3 7 2 2 3" xfId="3846"/>
    <cellStyle name="Millares 3 7 2 3" xfId="4007"/>
    <cellStyle name="Millares 3 7 2 4" xfId="3845"/>
    <cellStyle name="Millares 3 7 3" xfId="2440"/>
    <cellStyle name="Millares 3 7 3 2" xfId="4009"/>
    <cellStyle name="Millares 3 7 3 3" xfId="3847"/>
    <cellStyle name="Millares 3 7 4" xfId="3844"/>
    <cellStyle name="Millares 3 7 5" xfId="4006"/>
    <cellStyle name="Millares 3 7 6" xfId="3632"/>
    <cellStyle name="Millares 3 8" xfId="2423"/>
    <cellStyle name="Millares 3 8 2" xfId="3830"/>
    <cellStyle name="Millares 3 8 3" xfId="3992"/>
    <cellStyle name="Millares 3 8 4" xfId="3692"/>
    <cellStyle name="Millares 3 9" xfId="3752"/>
    <cellStyle name="Millares 30" xfId="172"/>
    <cellStyle name="Millares 30 2" xfId="2441"/>
    <cellStyle name="Millares 30 3" xfId="2442"/>
    <cellStyle name="Millares 31" xfId="173"/>
    <cellStyle name="Millares 31 2" xfId="1704"/>
    <cellStyle name="Millares 31 2 2" xfId="3651"/>
    <cellStyle name="Millares 31 2 3" xfId="3711"/>
    <cellStyle name="Millares 31 2 4" xfId="3771"/>
    <cellStyle name="Millares 31 2 5" xfId="3938"/>
    <cellStyle name="Millares 31 2 6" xfId="3590"/>
    <cellStyle name="Millares 31 3" xfId="2443"/>
    <cellStyle name="Millares 31 3 2" xfId="4010"/>
    <cellStyle name="Millares 31 3 3" xfId="3848"/>
    <cellStyle name="Millares 31 4" xfId="3535"/>
    <cellStyle name="Millares 32" xfId="174"/>
    <cellStyle name="Millares 32 2" xfId="1705"/>
    <cellStyle name="Millares 32 2 2" xfId="3652"/>
    <cellStyle name="Millares 32 2 3" xfId="3712"/>
    <cellStyle name="Millares 32 2 4" xfId="3772"/>
    <cellStyle name="Millares 32 2 5" xfId="3939"/>
    <cellStyle name="Millares 32 2 6" xfId="3591"/>
    <cellStyle name="Millares 32 3" xfId="2444"/>
    <cellStyle name="Millares 32 3 2" xfId="4011"/>
    <cellStyle name="Millares 32 3 3" xfId="3849"/>
    <cellStyle name="Millares 32 4" xfId="3536"/>
    <cellStyle name="Millares 33" xfId="175"/>
    <cellStyle name="Millares 33 2" xfId="1706"/>
    <cellStyle name="Millares 33 2 2" xfId="3653"/>
    <cellStyle name="Millares 33 2 3" xfId="3713"/>
    <cellStyle name="Millares 33 2 4" xfId="3773"/>
    <cellStyle name="Millares 33 2 5" xfId="3940"/>
    <cellStyle name="Millares 33 2 6" xfId="3592"/>
    <cellStyle name="Millares 33 3" xfId="2445"/>
    <cellStyle name="Millares 33 3 2" xfId="4012"/>
    <cellStyle name="Millares 33 3 3" xfId="3850"/>
    <cellStyle name="Millares 33 4" xfId="3537"/>
    <cellStyle name="Millares 34" xfId="176"/>
    <cellStyle name="Millares 34 2" xfId="1707"/>
    <cellStyle name="Millares 34 2 2" xfId="3654"/>
    <cellStyle name="Millares 34 2 3" xfId="3714"/>
    <cellStyle name="Millares 34 2 4" xfId="3774"/>
    <cellStyle name="Millares 34 2 5" xfId="3941"/>
    <cellStyle name="Millares 34 2 6" xfId="3593"/>
    <cellStyle name="Millares 34 3" xfId="2446"/>
    <cellStyle name="Millares 34 3 2" xfId="4013"/>
    <cellStyle name="Millares 34 3 3" xfId="3851"/>
    <cellStyle name="Millares 34 4" xfId="3538"/>
    <cellStyle name="Millares 35" xfId="177"/>
    <cellStyle name="Millares 35 2" xfId="2447"/>
    <cellStyle name="Millares 35 3" xfId="2448"/>
    <cellStyle name="Millares 36" xfId="178"/>
    <cellStyle name="Millares 36 2" xfId="2449"/>
    <cellStyle name="Millares 36 3" xfId="2450"/>
    <cellStyle name="Millares 37" xfId="179"/>
    <cellStyle name="Millares 37 2" xfId="2451"/>
    <cellStyle name="Millares 37 3" xfId="2452"/>
    <cellStyle name="Millares 38" xfId="180"/>
    <cellStyle name="Millares 38 2" xfId="2453"/>
    <cellStyle name="Millares 38 3" xfId="2454"/>
    <cellStyle name="Millares 39" xfId="181"/>
    <cellStyle name="Millares 39 2" xfId="2455"/>
    <cellStyle name="Millares 39 3" xfId="2456"/>
    <cellStyle name="Millares 4" xfId="182"/>
    <cellStyle name="Millares 4 2" xfId="449"/>
    <cellStyle name="Millares 4 2 2" xfId="1210"/>
    <cellStyle name="Millares 4 2 2 2" xfId="1751"/>
    <cellStyle name="Millares 4 2 2 2 2" xfId="3682"/>
    <cellStyle name="Millares 4 2 2 2 3" xfId="3742"/>
    <cellStyle name="Millares 4 2 2 2 4" xfId="3802"/>
    <cellStyle name="Millares 4 2 2 2 5" xfId="3969"/>
    <cellStyle name="Millares 4 2 2 2 6" xfId="3621"/>
    <cellStyle name="Millares 4 2 2 3" xfId="3567"/>
    <cellStyle name="Millares 4 2 3" xfId="1162"/>
    <cellStyle name="Millares 4 2 3 2" xfId="1748"/>
    <cellStyle name="Millares 4 2 3 2 2" xfId="3679"/>
    <cellStyle name="Millares 4 2 3 2 3" xfId="3739"/>
    <cellStyle name="Millares 4 2 3 2 4" xfId="3799"/>
    <cellStyle name="Millares 4 2 3 2 5" xfId="3966"/>
    <cellStyle name="Millares 4 2 3 2 6" xfId="3618"/>
    <cellStyle name="Millares 4 2 3 3" xfId="3564"/>
    <cellStyle name="Millares 4 2 4" xfId="1735"/>
    <cellStyle name="Millares 4 2 4 2" xfId="3670"/>
    <cellStyle name="Millares 4 2 4 3" xfId="3730"/>
    <cellStyle name="Millares 4 2 4 4" xfId="3790"/>
    <cellStyle name="Millares 4 2 4 5" xfId="3957"/>
    <cellStyle name="Millares 4 2 4 6" xfId="3609"/>
    <cellStyle name="Millares 4 2 5" xfId="3635"/>
    <cellStyle name="Millares 4 2 6" xfId="3695"/>
    <cellStyle name="Millares 4 2 7" xfId="3755"/>
    <cellStyle name="Millares 4 2 8" xfId="3922"/>
    <cellStyle name="Millares 4 2 9" xfId="3554"/>
    <cellStyle name="Millares 4 3" xfId="1154"/>
    <cellStyle name="Millares 4 3 2" xfId="1209"/>
    <cellStyle name="Millares 4 3 2 2" xfId="1750"/>
    <cellStyle name="Millares 4 3 2 2 2" xfId="3681"/>
    <cellStyle name="Millares 4 3 2 2 3" xfId="3741"/>
    <cellStyle name="Millares 4 3 2 2 4" xfId="3801"/>
    <cellStyle name="Millares 4 3 2 2 5" xfId="3968"/>
    <cellStyle name="Millares 4 3 2 2 6" xfId="3620"/>
    <cellStyle name="Millares 4 3 2 3" xfId="3637"/>
    <cellStyle name="Millares 4 3 2 4" xfId="3697"/>
    <cellStyle name="Millares 4 3 2 5" xfId="3757"/>
    <cellStyle name="Millares 4 3 2 6" xfId="3924"/>
    <cellStyle name="Millares 4 3 2 7" xfId="3566"/>
    <cellStyle name="Millares 4 3 3" xfId="1742"/>
    <cellStyle name="Millares 4 3 3 2" xfId="3677"/>
    <cellStyle name="Millares 4 3 3 3" xfId="3737"/>
    <cellStyle name="Millares 4 3 3 4" xfId="3797"/>
    <cellStyle name="Millares 4 3 3 5" xfId="3964"/>
    <cellStyle name="Millares 4 3 3 6" xfId="3616"/>
    <cellStyle name="Millares 4 3 4" xfId="2458"/>
    <cellStyle name="Millares 4 3 4 2" xfId="4015"/>
    <cellStyle name="Millares 4 3 4 3" xfId="3853"/>
    <cellStyle name="Millares 4 3 5" xfId="3562"/>
    <cellStyle name="Millares 4 4" xfId="1708"/>
    <cellStyle name="Millares 4 4 2" xfId="3655"/>
    <cellStyle name="Millares 4 4 3" xfId="3715"/>
    <cellStyle name="Millares 4 4 4" xfId="3775"/>
    <cellStyle name="Millares 4 4 5" xfId="3942"/>
    <cellStyle name="Millares 4 4 6" xfId="3594"/>
    <cellStyle name="Millares 4 5" xfId="2457"/>
    <cellStyle name="Millares 4 5 2" xfId="3852"/>
    <cellStyle name="Millares 4 5 3" xfId="4014"/>
    <cellStyle name="Millares 4 5 4" xfId="3633"/>
    <cellStyle name="Millares 4 6" xfId="3693"/>
    <cellStyle name="Millares 4 7" xfId="3753"/>
    <cellStyle name="Millares 4 8" xfId="3920"/>
    <cellStyle name="Millares 4 9" xfId="3539"/>
    <cellStyle name="Millares 40" xfId="183"/>
    <cellStyle name="Millares 40 2" xfId="2459"/>
    <cellStyle name="Millares 40 3" xfId="2460"/>
    <cellStyle name="Millares 41" xfId="184"/>
    <cellStyle name="Millares 41 2" xfId="2461"/>
    <cellStyle name="Millares 41 3" xfId="2462"/>
    <cellStyle name="Millares 42" xfId="185"/>
    <cellStyle name="Millares 42 2" xfId="2463"/>
    <cellStyle name="Millares 42 3" xfId="2464"/>
    <cellStyle name="Millares 43" xfId="186"/>
    <cellStyle name="Millares 43 2" xfId="2465"/>
    <cellStyle name="Millares 43 3" xfId="2466"/>
    <cellStyle name="Millares 44" xfId="187"/>
    <cellStyle name="Millares 44 2" xfId="2467"/>
    <cellStyle name="Millares 44 3" xfId="2468"/>
    <cellStyle name="Millares 45" xfId="188"/>
    <cellStyle name="Millares 45 2" xfId="2469"/>
    <cellStyle name="Millares 45 3" xfId="2470"/>
    <cellStyle name="Millares 46" xfId="189"/>
    <cellStyle name="Millares 46 2" xfId="2471"/>
    <cellStyle name="Millares 46 3" xfId="2472"/>
    <cellStyle name="Millares 47" xfId="190"/>
    <cellStyle name="Millares 47 2" xfId="1709"/>
    <cellStyle name="Millares 47 2 2" xfId="3656"/>
    <cellStyle name="Millares 47 2 3" xfId="3716"/>
    <cellStyle name="Millares 47 2 4" xfId="3776"/>
    <cellStyle name="Millares 47 2 5" xfId="3943"/>
    <cellStyle name="Millares 47 2 6" xfId="3595"/>
    <cellStyle name="Millares 47 3" xfId="2473"/>
    <cellStyle name="Millares 47 3 2" xfId="4016"/>
    <cellStyle name="Millares 47 3 3" xfId="3854"/>
    <cellStyle name="Millares 47 4" xfId="3540"/>
    <cellStyle name="Millares 48" xfId="191"/>
    <cellStyle name="Millares 48 2" xfId="1710"/>
    <cellStyle name="Millares 48 2 2" xfId="3657"/>
    <cellStyle name="Millares 48 2 3" xfId="3717"/>
    <cellStyle name="Millares 48 2 4" xfId="3777"/>
    <cellStyle name="Millares 48 2 5" xfId="3944"/>
    <cellStyle name="Millares 48 2 6" xfId="3596"/>
    <cellStyle name="Millares 48 3" xfId="2474"/>
    <cellStyle name="Millares 48 3 2" xfId="4017"/>
    <cellStyle name="Millares 48 3 3" xfId="3855"/>
    <cellStyle name="Millares 48 4" xfId="3541"/>
    <cellStyle name="Millares 49" xfId="192"/>
    <cellStyle name="Millares 49 2" xfId="1711"/>
    <cellStyle name="Millares 49 2 2" xfId="3658"/>
    <cellStyle name="Millares 49 2 3" xfId="3718"/>
    <cellStyle name="Millares 49 2 4" xfId="3778"/>
    <cellStyle name="Millares 49 2 5" xfId="3945"/>
    <cellStyle name="Millares 49 2 6" xfId="3597"/>
    <cellStyle name="Millares 49 3" xfId="2475"/>
    <cellStyle name="Millares 49 3 2" xfId="4018"/>
    <cellStyle name="Millares 49 3 3" xfId="3856"/>
    <cellStyle name="Millares 49 4" xfId="3542"/>
    <cellStyle name="Millares 5" xfId="193"/>
    <cellStyle name="Millares 5 2" xfId="450"/>
    <cellStyle name="Millares 5 2 10" xfId="3555"/>
    <cellStyle name="Millares 5 2 2" xfId="1163"/>
    <cellStyle name="Millares 5 2 2 2" xfId="1749"/>
    <cellStyle name="Millares 5 2 2 2 2" xfId="2480"/>
    <cellStyle name="Millares 5 2 2 2 2 2" xfId="3861"/>
    <cellStyle name="Millares 5 2 2 2 2 3" xfId="4023"/>
    <cellStyle name="Millares 5 2 2 2 2 4" xfId="3680"/>
    <cellStyle name="Millares 5 2 2 2 3" xfId="2479"/>
    <cellStyle name="Millares 5 2 2 2 3 2" xfId="3860"/>
    <cellStyle name="Millares 5 2 2 2 3 3" xfId="4022"/>
    <cellStyle name="Millares 5 2 2 2 3 4" xfId="3740"/>
    <cellStyle name="Millares 5 2 2 2 4" xfId="3800"/>
    <cellStyle name="Millares 5 2 2 2 5" xfId="3967"/>
    <cellStyle name="Millares 5 2 2 2 6" xfId="3619"/>
    <cellStyle name="Millares 5 2 2 3" xfId="2481"/>
    <cellStyle name="Millares 5 2 2 3 2" xfId="2482"/>
    <cellStyle name="Millares 5 2 2 3 2 2" xfId="4025"/>
    <cellStyle name="Millares 5 2 2 3 2 3" xfId="3863"/>
    <cellStyle name="Millares 5 2 2 3 3" xfId="4024"/>
    <cellStyle name="Millares 5 2 2 3 4" xfId="3862"/>
    <cellStyle name="Millares 5 2 2 4" xfId="2483"/>
    <cellStyle name="Millares 5 2 2 4 2" xfId="4026"/>
    <cellStyle name="Millares 5 2 2 4 3" xfId="3864"/>
    <cellStyle name="Millares 5 2 2 5" xfId="2478"/>
    <cellStyle name="Millares 5 2 2 5 2" xfId="4021"/>
    <cellStyle name="Millares 5 2 2 5 3" xfId="3859"/>
    <cellStyle name="Millares 5 2 2 6" xfId="3565"/>
    <cellStyle name="Millares 5 2 3" xfId="1736"/>
    <cellStyle name="Millares 5 2 3 2" xfId="2484"/>
    <cellStyle name="Millares 5 2 3 2 2" xfId="3865"/>
    <cellStyle name="Millares 5 2 3 2 3" xfId="4027"/>
    <cellStyle name="Millares 5 2 3 2 4" xfId="3671"/>
    <cellStyle name="Millares 5 2 3 3" xfId="3731"/>
    <cellStyle name="Millares 5 2 3 4" xfId="3791"/>
    <cellStyle name="Millares 5 2 3 5" xfId="3958"/>
    <cellStyle name="Millares 5 2 3 6" xfId="3610"/>
    <cellStyle name="Millares 5 2 4" xfId="2485"/>
    <cellStyle name="Millares 5 2 4 2" xfId="2486"/>
    <cellStyle name="Millares 5 2 4 2 2" xfId="4029"/>
    <cellStyle name="Millares 5 2 4 2 3" xfId="3867"/>
    <cellStyle name="Millares 5 2 4 3" xfId="3866"/>
    <cellStyle name="Millares 5 2 4 4" xfId="4028"/>
    <cellStyle name="Millares 5 2 4 5" xfId="3636"/>
    <cellStyle name="Millares 5 2 5" xfId="2487"/>
    <cellStyle name="Millares 5 2 5 2" xfId="2488"/>
    <cellStyle name="Millares 5 2 5 2 2" xfId="4031"/>
    <cellStyle name="Millares 5 2 5 2 3" xfId="3869"/>
    <cellStyle name="Millares 5 2 5 3" xfId="3868"/>
    <cellStyle name="Millares 5 2 5 4" xfId="4030"/>
    <cellStyle name="Millares 5 2 5 5" xfId="3696"/>
    <cellStyle name="Millares 5 2 6" xfId="2489"/>
    <cellStyle name="Millares 5 2 6 2" xfId="4032"/>
    <cellStyle name="Millares 5 2 6 3" xfId="3870"/>
    <cellStyle name="Millares 5 2 7" xfId="2477"/>
    <cellStyle name="Millares 5 2 7 2" xfId="4020"/>
    <cellStyle name="Millares 5 2 7 3" xfId="3858"/>
    <cellStyle name="Millares 5 2 8" xfId="3756"/>
    <cellStyle name="Millares 5 2 9" xfId="3923"/>
    <cellStyle name="Millares 5 3" xfId="1155"/>
    <cellStyle name="Millares 5 3 2" xfId="1211"/>
    <cellStyle name="Millares 5 3 2 2" xfId="1752"/>
    <cellStyle name="Millares 5 3 2 2 2" xfId="2493"/>
    <cellStyle name="Millares 5 3 2 2 2 2" xfId="3874"/>
    <cellStyle name="Millares 5 3 2 2 2 3" xfId="4036"/>
    <cellStyle name="Millares 5 3 2 2 2 4" xfId="3683"/>
    <cellStyle name="Millares 5 3 2 2 3" xfId="2492"/>
    <cellStyle name="Millares 5 3 2 2 3 2" xfId="3873"/>
    <cellStyle name="Millares 5 3 2 2 3 3" xfId="4035"/>
    <cellStyle name="Millares 5 3 2 2 3 4" xfId="3743"/>
    <cellStyle name="Millares 5 3 2 2 4" xfId="3803"/>
    <cellStyle name="Millares 5 3 2 2 5" xfId="3970"/>
    <cellStyle name="Millares 5 3 2 2 6" xfId="3622"/>
    <cellStyle name="Millares 5 3 2 3" xfId="2494"/>
    <cellStyle name="Millares 5 3 2 3 2" xfId="2495"/>
    <cellStyle name="Millares 5 3 2 3 2 2" xfId="4038"/>
    <cellStyle name="Millares 5 3 2 3 2 3" xfId="3876"/>
    <cellStyle name="Millares 5 3 2 3 3" xfId="3875"/>
    <cellStyle name="Millares 5 3 2 3 4" xfId="4037"/>
    <cellStyle name="Millares 5 3 2 3 5" xfId="3638"/>
    <cellStyle name="Millares 5 3 2 4" xfId="2496"/>
    <cellStyle name="Millares 5 3 2 4 2" xfId="3877"/>
    <cellStyle name="Millares 5 3 2 4 3" xfId="4039"/>
    <cellStyle name="Millares 5 3 2 4 4" xfId="3698"/>
    <cellStyle name="Millares 5 3 2 5" xfId="2491"/>
    <cellStyle name="Millares 5 3 2 5 2" xfId="4034"/>
    <cellStyle name="Millares 5 3 2 5 3" xfId="3872"/>
    <cellStyle name="Millares 5 3 2 6" xfId="3758"/>
    <cellStyle name="Millares 5 3 2 7" xfId="3925"/>
    <cellStyle name="Millares 5 3 2 8" xfId="3568"/>
    <cellStyle name="Millares 5 3 3" xfId="1743"/>
    <cellStyle name="Millares 5 3 3 2" xfId="2498"/>
    <cellStyle name="Millares 5 3 3 2 2" xfId="3879"/>
    <cellStyle name="Millares 5 3 3 2 3" xfId="4041"/>
    <cellStyle name="Millares 5 3 3 2 4" xfId="3678"/>
    <cellStyle name="Millares 5 3 3 3" xfId="2497"/>
    <cellStyle name="Millares 5 3 3 3 2" xfId="3878"/>
    <cellStyle name="Millares 5 3 3 3 3" xfId="4040"/>
    <cellStyle name="Millares 5 3 3 3 4" xfId="3738"/>
    <cellStyle name="Millares 5 3 3 4" xfId="3798"/>
    <cellStyle name="Millares 5 3 3 5" xfId="3965"/>
    <cellStyle name="Millares 5 3 3 6" xfId="3617"/>
    <cellStyle name="Millares 5 3 4" xfId="2499"/>
    <cellStyle name="Millares 5 3 4 2" xfId="2500"/>
    <cellStyle name="Millares 5 3 4 2 2" xfId="4043"/>
    <cellStyle name="Millares 5 3 4 2 3" xfId="3881"/>
    <cellStyle name="Millares 5 3 4 3" xfId="4042"/>
    <cellStyle name="Millares 5 3 4 4" xfId="3880"/>
    <cellStyle name="Millares 5 3 5" xfId="2501"/>
    <cellStyle name="Millares 5 3 5 2" xfId="4044"/>
    <cellStyle name="Millares 5 3 5 3" xfId="3882"/>
    <cellStyle name="Millares 5 3 6" xfId="2490"/>
    <cellStyle name="Millares 5 3 6 2" xfId="4033"/>
    <cellStyle name="Millares 5 3 6 3" xfId="3871"/>
    <cellStyle name="Millares 5 3 7" xfId="3563"/>
    <cellStyle name="Millares 5 4" xfId="1712"/>
    <cellStyle name="Millares 5 4 2" xfId="3659"/>
    <cellStyle name="Millares 5 4 3" xfId="3719"/>
    <cellStyle name="Millares 5 4 4" xfId="3779"/>
    <cellStyle name="Millares 5 4 5" xfId="3946"/>
    <cellStyle name="Millares 5 4 6" xfId="3598"/>
    <cellStyle name="Millares 5 5" xfId="2476"/>
    <cellStyle name="Millares 5 5 2" xfId="3857"/>
    <cellStyle name="Millares 5 5 3" xfId="4019"/>
    <cellStyle name="Millares 5 5 4" xfId="3634"/>
    <cellStyle name="Millares 5 6" xfId="3694"/>
    <cellStyle name="Millares 5 7" xfId="3754"/>
    <cellStyle name="Millares 5 8" xfId="3921"/>
    <cellStyle name="Millares 5 9" xfId="3543"/>
    <cellStyle name="Millares 50" xfId="194"/>
    <cellStyle name="Millares 50 2" xfId="1713"/>
    <cellStyle name="Millares 50 2 2" xfId="3660"/>
    <cellStyle name="Millares 50 2 3" xfId="3720"/>
    <cellStyle name="Millares 50 2 4" xfId="3780"/>
    <cellStyle name="Millares 50 2 5" xfId="3947"/>
    <cellStyle name="Millares 50 2 6" xfId="3599"/>
    <cellStyle name="Millares 50 3" xfId="2502"/>
    <cellStyle name="Millares 50 3 2" xfId="4045"/>
    <cellStyle name="Millares 50 3 3" xfId="3883"/>
    <cellStyle name="Millares 50 4" xfId="3544"/>
    <cellStyle name="Millares 51" xfId="195"/>
    <cellStyle name="Millares 51 2" xfId="2503"/>
    <cellStyle name="Millares 51 3" xfId="2504"/>
    <cellStyle name="Millares 52" xfId="196"/>
    <cellStyle name="Millares 52 2" xfId="2505"/>
    <cellStyle name="Millares 52 3" xfId="2506"/>
    <cellStyle name="Millares 53" xfId="197"/>
    <cellStyle name="Millares 53 2" xfId="2507"/>
    <cellStyle name="Millares 53 3" xfId="2508"/>
    <cellStyle name="Millares 54" xfId="198"/>
    <cellStyle name="Millares 54 2" xfId="2509"/>
    <cellStyle name="Millares 54 3" xfId="2510"/>
    <cellStyle name="Millares 55" xfId="199"/>
    <cellStyle name="Millares 56" xfId="200"/>
    <cellStyle name="Millares 56 2" xfId="201"/>
    <cellStyle name="Millares 56 2 2" xfId="1715"/>
    <cellStyle name="Millares 56 2 2 2" xfId="3662"/>
    <cellStyle name="Millares 56 2 2 3" xfId="3722"/>
    <cellStyle name="Millares 56 2 2 4" xfId="3782"/>
    <cellStyle name="Millares 56 2 2 5" xfId="3949"/>
    <cellStyle name="Millares 56 2 2 6" xfId="3601"/>
    <cellStyle name="Millares 56 2 3" xfId="3546"/>
    <cellStyle name="Millares 56 3" xfId="1714"/>
    <cellStyle name="Millares 56 3 2" xfId="3661"/>
    <cellStyle name="Millares 56 3 3" xfId="3721"/>
    <cellStyle name="Millares 56 3 4" xfId="3781"/>
    <cellStyle name="Millares 56 3 5" xfId="3948"/>
    <cellStyle name="Millares 56 3 6" xfId="3600"/>
    <cellStyle name="Millares 56 4" xfId="3545"/>
    <cellStyle name="Millares 57" xfId="202"/>
    <cellStyle name="Millares 57 2" xfId="203"/>
    <cellStyle name="Millares 57 2 2" xfId="1717"/>
    <cellStyle name="Millares 57 2 2 2" xfId="3664"/>
    <cellStyle name="Millares 57 2 2 3" xfId="3724"/>
    <cellStyle name="Millares 57 2 2 4" xfId="3784"/>
    <cellStyle name="Millares 57 2 2 5" xfId="3951"/>
    <cellStyle name="Millares 57 2 2 6" xfId="3603"/>
    <cellStyle name="Millares 57 2 3" xfId="3548"/>
    <cellStyle name="Millares 57 3" xfId="1716"/>
    <cellStyle name="Millares 57 3 2" xfId="3663"/>
    <cellStyle name="Millares 57 3 3" xfId="3723"/>
    <cellStyle name="Millares 57 3 4" xfId="3783"/>
    <cellStyle name="Millares 57 3 5" xfId="3950"/>
    <cellStyle name="Millares 57 3 6" xfId="3602"/>
    <cellStyle name="Millares 57 4" xfId="3547"/>
    <cellStyle name="Millares 58" xfId="204"/>
    <cellStyle name="Millares 59" xfId="205"/>
    <cellStyle name="Millares 59 2" xfId="1718"/>
    <cellStyle name="Millares 59 2 2" xfId="3665"/>
    <cellStyle name="Millares 59 2 3" xfId="3725"/>
    <cellStyle name="Millares 59 2 4" xfId="3785"/>
    <cellStyle name="Millares 59 2 5" xfId="3952"/>
    <cellStyle name="Millares 59 2 6" xfId="3604"/>
    <cellStyle name="Millares 59 3" xfId="3549"/>
    <cellStyle name="Millares 6" xfId="206"/>
    <cellStyle name="Millares 6 2" xfId="1719"/>
    <cellStyle name="Millares 6 2 2" xfId="3666"/>
    <cellStyle name="Millares 6 2 3" xfId="3726"/>
    <cellStyle name="Millares 6 2 4" xfId="3786"/>
    <cellStyle name="Millares 6 2 5" xfId="3953"/>
    <cellStyle name="Millares 6 2 6" xfId="3605"/>
    <cellStyle name="Millares 6 3" xfId="2511"/>
    <cellStyle name="Millares 6 3 2" xfId="4046"/>
    <cellStyle name="Millares 6 3 3" xfId="3884"/>
    <cellStyle name="Millares 6 4" xfId="3550"/>
    <cellStyle name="Millares 60" xfId="207"/>
    <cellStyle name="Millares 60 2" xfId="441"/>
    <cellStyle name="Millares 60 2 2" xfId="2513"/>
    <cellStyle name="Millares 60 2 2 2" xfId="2514"/>
    <cellStyle name="Millares 60 2 3" xfId="2515"/>
    <cellStyle name="Millares 60 2 3 2" xfId="2516"/>
    <cellStyle name="Millares 60 2 4" xfId="2517"/>
    <cellStyle name="Millares 60 2 5" xfId="2512"/>
    <cellStyle name="Millares 60 3" xfId="2518"/>
    <cellStyle name="Millares 60 3 2" xfId="2519"/>
    <cellStyle name="Millares 60 3 2 2" xfId="2520"/>
    <cellStyle name="Millares 60 4" xfId="2521"/>
    <cellStyle name="Millares 60 4 2" xfId="2522"/>
    <cellStyle name="Millares 60 5" xfId="2523"/>
    <cellStyle name="Millares 61" xfId="208"/>
    <cellStyle name="Millares 61 2" xfId="448"/>
    <cellStyle name="Millares 61 2 2" xfId="2525"/>
    <cellStyle name="Millares 61 2 2 2" xfId="2526"/>
    <cellStyle name="Millares 61 2 3" xfId="2527"/>
    <cellStyle name="Millares 61 2 3 2" xfId="2528"/>
    <cellStyle name="Millares 61 2 4" xfId="2529"/>
    <cellStyle name="Millares 61 2 5" xfId="2524"/>
    <cellStyle name="Millares 61 3" xfId="2530"/>
    <cellStyle name="Millares 61 3 2" xfId="2531"/>
    <cellStyle name="Millares 61 3 2 2" xfId="2532"/>
    <cellStyle name="Millares 61 4" xfId="2533"/>
    <cellStyle name="Millares 61 4 2" xfId="2534"/>
    <cellStyle name="Millares 61 5" xfId="2535"/>
    <cellStyle name="Millares 62" xfId="209"/>
    <cellStyle name="Millares 62 2" xfId="1201"/>
    <cellStyle name="Millares 62 2 2" xfId="2537"/>
    <cellStyle name="Millares 62 2 2 2" xfId="2538"/>
    <cellStyle name="Millares 62 2 3" xfId="2539"/>
    <cellStyle name="Millares 62 2 3 2" xfId="2540"/>
    <cellStyle name="Millares 62 2 4" xfId="2541"/>
    <cellStyle name="Millares 62 2 5" xfId="2536"/>
    <cellStyle name="Millares 62 3" xfId="2542"/>
    <cellStyle name="Millares 62 3 2" xfId="2543"/>
    <cellStyle name="Millares 62 3 2 2" xfId="2544"/>
    <cellStyle name="Millares 62 4" xfId="2545"/>
    <cellStyle name="Millares 62 4 2" xfId="2546"/>
    <cellStyle name="Millares 62 5" xfId="2547"/>
    <cellStyle name="Millares 63" xfId="135"/>
    <cellStyle name="Millares 63 2" xfId="399"/>
    <cellStyle name="Millares 63 2 2" xfId="2548"/>
    <cellStyle name="Millares 64" xfId="383"/>
    <cellStyle name="Millares 64 2" xfId="2549"/>
    <cellStyle name="Millares 65" xfId="385"/>
    <cellStyle name="Millares 65 2" xfId="400"/>
    <cellStyle name="Millares 65 2 2" xfId="2550"/>
    <cellStyle name="Millares 65 3" xfId="1722"/>
    <cellStyle name="Millares 66" xfId="387"/>
    <cellStyle name="Millares 66 2" xfId="401"/>
    <cellStyle name="Millares 66 2 2" xfId="2551"/>
    <cellStyle name="Millares 66 3" xfId="1723"/>
    <cellStyle name="Millares 67" xfId="386"/>
    <cellStyle name="Millares 67 2" xfId="402"/>
    <cellStyle name="Millares 68" xfId="391"/>
    <cellStyle name="Millares 68 2" xfId="2552"/>
    <cellStyle name="Millares 68 2 2" xfId="2553"/>
    <cellStyle name="Millares 68 2 2 2" xfId="2554"/>
    <cellStyle name="Millares 68 2 2 2 2" xfId="4049"/>
    <cellStyle name="Millares 68 2 2 2 3" xfId="3887"/>
    <cellStyle name="Millares 68 2 2 3" xfId="4048"/>
    <cellStyle name="Millares 68 2 2 4" xfId="3886"/>
    <cellStyle name="Millares 68 2 3" xfId="4047"/>
    <cellStyle name="Millares 68 2 4" xfId="3885"/>
    <cellStyle name="Millares 68 3" xfId="2555"/>
    <cellStyle name="Millares 68 3 2" xfId="2556"/>
    <cellStyle name="Millares 68 3 2 2" xfId="4051"/>
    <cellStyle name="Millares 68 3 2 3" xfId="3889"/>
    <cellStyle name="Millares 68 3 3" xfId="4050"/>
    <cellStyle name="Millares 68 3 4" xfId="3888"/>
    <cellStyle name="Millares 68 4" xfId="2557"/>
    <cellStyle name="Millares 68 4 2" xfId="4052"/>
    <cellStyle name="Millares 68 4 3" xfId="3890"/>
    <cellStyle name="Millares 69" xfId="392"/>
    <cellStyle name="Millares 69 2" xfId="2558"/>
    <cellStyle name="Millares 69 2 2" xfId="2559"/>
    <cellStyle name="Millares 69 2 2 2" xfId="2560"/>
    <cellStyle name="Millares 69 2 2 2 2" xfId="4055"/>
    <cellStyle name="Millares 69 2 2 2 3" xfId="3893"/>
    <cellStyle name="Millares 69 2 2 3" xfId="4054"/>
    <cellStyle name="Millares 69 2 2 4" xfId="3892"/>
    <cellStyle name="Millares 69 2 3" xfId="4053"/>
    <cellStyle name="Millares 69 2 4" xfId="3891"/>
    <cellStyle name="Millares 69 3" xfId="2561"/>
    <cellStyle name="Millares 69 3 2" xfId="2562"/>
    <cellStyle name="Millares 69 3 2 2" xfId="4057"/>
    <cellStyle name="Millares 69 3 2 3" xfId="3895"/>
    <cellStyle name="Millares 69 3 3" xfId="4056"/>
    <cellStyle name="Millares 69 3 4" xfId="3894"/>
    <cellStyle name="Millares 69 4" xfId="2563"/>
    <cellStyle name="Millares 69 4 2" xfId="4058"/>
    <cellStyle name="Millares 69 4 3" xfId="3896"/>
    <cellStyle name="Millares 7" xfId="210"/>
    <cellStyle name="Millares 7 2" xfId="1720"/>
    <cellStyle name="Millares 7 2 2" xfId="3667"/>
    <cellStyle name="Millares 7 2 3" xfId="3727"/>
    <cellStyle name="Millares 7 2 4" xfId="3787"/>
    <cellStyle name="Millares 7 2 5" xfId="3954"/>
    <cellStyle name="Millares 7 2 6" xfId="3606"/>
    <cellStyle name="Millares 7 3" xfId="2564"/>
    <cellStyle name="Millares 7 3 2" xfId="4059"/>
    <cellStyle name="Millares 7 3 3" xfId="3897"/>
    <cellStyle name="Millares 7 4" xfId="3551"/>
    <cellStyle name="Millares 70" xfId="390"/>
    <cellStyle name="Millares 70 2" xfId="411"/>
    <cellStyle name="Millares 70 3" xfId="2565"/>
    <cellStyle name="Millares 70 3 2" xfId="4060"/>
    <cellStyle name="Millares 70 3 3" xfId="3898"/>
    <cellStyle name="Millares 70 4" xfId="2566"/>
    <cellStyle name="Millares 70 4 2" xfId="2567"/>
    <cellStyle name="Millares 70 4 2 2" xfId="4062"/>
    <cellStyle name="Millares 70 4 2 3" xfId="3900"/>
    <cellStyle name="Millares 70 4 3" xfId="4061"/>
    <cellStyle name="Millares 70 4 4" xfId="3899"/>
    <cellStyle name="Millares 70 5" xfId="2568"/>
    <cellStyle name="Millares 70 5 2" xfId="4063"/>
    <cellStyle name="Millares 70 5 3" xfId="3901"/>
    <cellStyle name="Millares 71" xfId="398"/>
    <cellStyle name="Millares 71 2" xfId="412"/>
    <cellStyle name="Millares 71 3" xfId="2570"/>
    <cellStyle name="Millares 71 3 2" xfId="4064"/>
    <cellStyle name="Millares 71 3 3" xfId="3902"/>
    <cellStyle name="Millares 71 4" xfId="2569"/>
    <cellStyle name="Millares 72" xfId="405"/>
    <cellStyle name="Millares 72 2" xfId="436"/>
    <cellStyle name="Millares 72 3" xfId="1728"/>
    <cellStyle name="Millares 72 3 2" xfId="2571"/>
    <cellStyle name="Millares 72 3 2 2" xfId="4065"/>
    <cellStyle name="Millares 72 3 2 3" xfId="3903"/>
    <cellStyle name="Millares 73" xfId="396"/>
    <cellStyle name="Millares 73 2" xfId="1612"/>
    <cellStyle name="Millares 73 2 2" xfId="1758"/>
    <cellStyle name="Millares 73 2 2 2" xfId="2574"/>
    <cellStyle name="Millares 73 2 2 2 2" xfId="3905"/>
    <cellStyle name="Millares 73 2 2 2 3" xfId="4067"/>
    <cellStyle name="Millares 73 2 2 2 4" xfId="3686"/>
    <cellStyle name="Millares 73 2 2 3" xfId="3746"/>
    <cellStyle name="Millares 73 2 2 4" xfId="3806"/>
    <cellStyle name="Millares 73 2 2 5" xfId="3973"/>
    <cellStyle name="Millares 73 2 2 6" xfId="3625"/>
    <cellStyle name="Millares 73 2 3" xfId="2573"/>
    <cellStyle name="Millares 73 2 3 2" xfId="3904"/>
    <cellStyle name="Millares 73 2 3 3" xfId="4066"/>
    <cellStyle name="Millares 73 2 3 4" xfId="3640"/>
    <cellStyle name="Millares 73 2 4" xfId="3700"/>
    <cellStyle name="Millares 73 2 5" xfId="3760"/>
    <cellStyle name="Millares 73 2 6" xfId="3927"/>
    <cellStyle name="Millares 73 2 7" xfId="3571"/>
    <cellStyle name="Millares 73 3" xfId="1724"/>
    <cellStyle name="Millares 73 3 2" xfId="2576"/>
    <cellStyle name="Millares 73 3 2 2" xfId="4069"/>
    <cellStyle name="Millares 73 3 2 3" xfId="3907"/>
    <cellStyle name="Millares 73 3 3" xfId="2575"/>
    <cellStyle name="Millares 73 3 3 2" xfId="4068"/>
    <cellStyle name="Millares 73 3 3 3" xfId="3906"/>
    <cellStyle name="Millares 73 4" xfId="2572"/>
    <cellStyle name="Millares 74" xfId="404"/>
    <cellStyle name="Millares 74 2" xfId="1727"/>
    <cellStyle name="Millares 74 2 2" xfId="2578"/>
    <cellStyle name="Millares 74 2 2 2" xfId="4071"/>
    <cellStyle name="Millares 74 2 2 3" xfId="3909"/>
    <cellStyle name="Millares 74 2 3" xfId="2577"/>
    <cellStyle name="Millares 74 2 3 2" xfId="4070"/>
    <cellStyle name="Millares 74 2 3 3" xfId="3908"/>
    <cellStyle name="Millares 74 3" xfId="2579"/>
    <cellStyle name="Millares 74 3 2" xfId="2580"/>
    <cellStyle name="Millares 74 3 2 2" xfId="4073"/>
    <cellStyle name="Millares 74 3 2 3" xfId="3911"/>
    <cellStyle name="Millares 74 3 3" xfId="4072"/>
    <cellStyle name="Millares 74 3 4" xfId="3910"/>
    <cellStyle name="Millares 74 4" xfId="2581"/>
    <cellStyle name="Millares 75" xfId="397"/>
    <cellStyle name="Millares 75 2" xfId="1725"/>
    <cellStyle name="Millares 75 3" xfId="2582"/>
    <cellStyle name="Millares 76" xfId="403"/>
    <cellStyle name="Millares 76 2" xfId="1726"/>
    <cellStyle name="Millares 77" xfId="406"/>
    <cellStyle name="Millares 77 2" xfId="2583"/>
    <cellStyle name="Millares 78" xfId="407"/>
    <cellStyle name="Millares 78 2" xfId="2584"/>
    <cellStyle name="Millares 79" xfId="410"/>
    <cellStyle name="Millares 79 2" xfId="2585"/>
    <cellStyle name="Millares 8" xfId="211"/>
    <cellStyle name="Millares 8 2" xfId="1721"/>
    <cellStyle name="Millares 8 2 2" xfId="3668"/>
    <cellStyle name="Millares 8 2 3" xfId="3728"/>
    <cellStyle name="Millares 8 2 4" xfId="3788"/>
    <cellStyle name="Millares 8 2 5" xfId="3955"/>
    <cellStyle name="Millares 8 2 6" xfId="3607"/>
    <cellStyle name="Millares 8 3" xfId="2586"/>
    <cellStyle name="Millares 8 3 2" xfId="4074"/>
    <cellStyle name="Millares 8 3 3" xfId="3912"/>
    <cellStyle name="Millares 8 4" xfId="3552"/>
    <cellStyle name="Millares 80" xfId="408"/>
    <cellStyle name="Millares 80 2" xfId="2588"/>
    <cellStyle name="Millares 80 3" xfId="2587"/>
    <cellStyle name="Millares 81" xfId="415"/>
    <cellStyle name="Millares 81 2" xfId="2590"/>
    <cellStyle name="Millares 81 3" xfId="2589"/>
    <cellStyle name="Millares 82" xfId="409"/>
    <cellStyle name="Millares 82 2" xfId="2592"/>
    <cellStyle name="Millares 82 3" xfId="2591"/>
    <cellStyle name="Millares 83" xfId="418"/>
    <cellStyle name="Millares 83 2" xfId="2594"/>
    <cellStyle name="Millares 83 3" xfId="2593"/>
    <cellStyle name="Millares 84" xfId="420"/>
    <cellStyle name="Millares 84 2" xfId="2596"/>
    <cellStyle name="Millares 84 3" xfId="2595"/>
    <cellStyle name="Millares 85" xfId="421"/>
    <cellStyle name="Millares 85 2" xfId="2598"/>
    <cellStyle name="Millares 85 3" xfId="2597"/>
    <cellStyle name="Millares 86" xfId="423"/>
    <cellStyle name="Millares 86 2" xfId="2599"/>
    <cellStyle name="Millares 87" xfId="424"/>
    <cellStyle name="Millares 87 2" xfId="2601"/>
    <cellStyle name="Millares 87 3" xfId="2600"/>
    <cellStyle name="Millares 88" xfId="422"/>
    <cellStyle name="Millares 89" xfId="430"/>
    <cellStyle name="Millares 9" xfId="212"/>
    <cellStyle name="Millares 9 2" xfId="2602"/>
    <cellStyle name="Millares 9 3" xfId="2603"/>
    <cellStyle name="Millares 90" xfId="435"/>
    <cellStyle name="Millares 91" xfId="437"/>
    <cellStyle name="Millares 91 2" xfId="1733"/>
    <cellStyle name="Millares 92" xfId="1149"/>
    <cellStyle name="Millares 93" xfId="1158"/>
    <cellStyle name="Millares 93 2" xfId="1745"/>
    <cellStyle name="Millares 94" xfId="1161"/>
    <cellStyle name="Millares 95" xfId="1512"/>
    <cellStyle name="Millares 96" xfId="1513"/>
    <cellStyle name="Millares 97" xfId="1514"/>
    <cellStyle name="Millares 98" xfId="1515"/>
    <cellStyle name="Millares 99" xfId="1609"/>
    <cellStyle name="Millares 99 2" xfId="1755"/>
    <cellStyle name="Moneda 10" xfId="213"/>
    <cellStyle name="Moneda 2" xfId="214"/>
    <cellStyle name="Moneda 2 2" xfId="215"/>
    <cellStyle name="Moneda 2 2 2" xfId="451"/>
    <cellStyle name="Moneda 2 3" xfId="1212"/>
    <cellStyle name="Moneda 2 4" xfId="1517"/>
    <cellStyle name="Moneda 3" xfId="216"/>
    <cellStyle name="Moneda 3 2" xfId="452"/>
    <cellStyle name="Moneda 3 3" xfId="2604"/>
    <cellStyle name="Moneda 4" xfId="217"/>
    <cellStyle name="Moneda 4 2" xfId="1213"/>
    <cellStyle name="Moneda 4 3" xfId="2605"/>
    <cellStyle name="Moneda 5" xfId="218"/>
    <cellStyle name="Moneda 5 2" xfId="1214"/>
    <cellStyle name="Moneda 5 3" xfId="2606"/>
    <cellStyle name="Moneda 6" xfId="219"/>
    <cellStyle name="Moneda 6 2" xfId="2607"/>
    <cellStyle name="Moneda 6 3" xfId="2608"/>
    <cellStyle name="Moneda 7" xfId="220"/>
    <cellStyle name="Moneda 7 2" xfId="2609"/>
    <cellStyle name="Moneda 7 3" xfId="2610"/>
    <cellStyle name="Moneda 8" xfId="221"/>
    <cellStyle name="Moneda 8 2" xfId="2611"/>
    <cellStyle name="Moneda 8 3" xfId="2612"/>
    <cellStyle name="Moneda 9" xfId="222"/>
    <cellStyle name="Moneda 9 2" xfId="223"/>
    <cellStyle name="Neutral" xfId="1657" builtinId="28" customBuiltin="1"/>
    <cellStyle name="Neutral 2" xfId="224"/>
    <cellStyle name="Neutral 2 2" xfId="1215"/>
    <cellStyle name="Neutral 2 2 2" xfId="1613"/>
    <cellStyle name="Neutral 2 2 2 2" xfId="2615"/>
    <cellStyle name="Neutral 2 2 3" xfId="2616"/>
    <cellStyle name="Neutral 2 2 4" xfId="2614"/>
    <cellStyle name="Neutral 2 3" xfId="2617"/>
    <cellStyle name="Neutral 2 3 2" xfId="2618"/>
    <cellStyle name="Neutral 2 3 3" xfId="2619"/>
    <cellStyle name="Neutral 2 3 4" xfId="2620"/>
    <cellStyle name="Neutral 3" xfId="225"/>
    <cellStyle name="Neutral 3 2" xfId="2622"/>
    <cellStyle name="Neutral 3 3" xfId="2623"/>
    <cellStyle name="Neutral 3 4" xfId="2624"/>
    <cellStyle name="Neutral 3 5" xfId="2621"/>
    <cellStyle name="Neutral 4" xfId="226"/>
    <cellStyle name="Neutral 5" xfId="2625"/>
    <cellStyle name="Neutral 5 2" xfId="3913"/>
    <cellStyle name="Neutral 5 3" xfId="3572"/>
    <cellStyle name="Neutral 6" xfId="2613"/>
    <cellStyle name="Normal" xfId="0" builtinId="0"/>
    <cellStyle name="Normal 10" xfId="227"/>
    <cellStyle name="Normal 10 2" xfId="453"/>
    <cellStyle name="Normal 10 2 2" xfId="454"/>
    <cellStyle name="Normal 10 2 2 2" xfId="1217"/>
    <cellStyle name="Normal 10 2 2 2 2" xfId="2626"/>
    <cellStyle name="Normal 10 2 2 3" xfId="2627"/>
    <cellStyle name="Normal 10 2 3" xfId="455"/>
    <cellStyle name="Normal 10 2 3 2" xfId="1218"/>
    <cellStyle name="Normal 10 2 3 2 2" xfId="2628"/>
    <cellStyle name="Normal 10 2 3 3" xfId="2629"/>
    <cellStyle name="Normal 10 2 4" xfId="456"/>
    <cellStyle name="Normal 10 2 5" xfId="1216"/>
    <cellStyle name="Normal 10 2 5 2" xfId="2630"/>
    <cellStyle name="Normal 10 2 6" xfId="1614"/>
    <cellStyle name="Normal 10 2 6 2" xfId="2631"/>
    <cellStyle name="Normal 10 2 7" xfId="2632"/>
    <cellStyle name="Normal 10 2 8" xfId="2633"/>
    <cellStyle name="Normal 10 3" xfId="457"/>
    <cellStyle name="Normal 10 3 2" xfId="458"/>
    <cellStyle name="Normal 10 3 2 2" xfId="1219"/>
    <cellStyle name="Normal 10 3 2 2 2" xfId="2634"/>
    <cellStyle name="Normal 10 3 2 3" xfId="2635"/>
    <cellStyle name="Normal 10 3 3" xfId="459"/>
    <cellStyle name="Normal 10 4" xfId="460"/>
    <cellStyle name="Normal 10 4 2" xfId="1220"/>
    <cellStyle name="Normal 10 4 2 2" xfId="2636"/>
    <cellStyle name="Normal 10 4 3" xfId="2637"/>
    <cellStyle name="Normal 100" xfId="2638"/>
    <cellStyle name="Normal 101" xfId="2639"/>
    <cellStyle name="Normal 102" xfId="2640"/>
    <cellStyle name="Normal 11" xfId="228"/>
    <cellStyle name="Normal 11 10" xfId="461"/>
    <cellStyle name="Normal 11 11" xfId="462"/>
    <cellStyle name="Normal 11 12" xfId="463"/>
    <cellStyle name="Normal 11 13" xfId="464"/>
    <cellStyle name="Normal 11 14" xfId="465"/>
    <cellStyle name="Normal 11 15" xfId="466"/>
    <cellStyle name="Normal 11 16" xfId="467"/>
    <cellStyle name="Normal 11 17" xfId="468"/>
    <cellStyle name="Normal 11 18" xfId="469"/>
    <cellStyle name="Normal 11 19" xfId="470"/>
    <cellStyle name="Normal 11 2" xfId="471"/>
    <cellStyle name="Normal 11 20" xfId="472"/>
    <cellStyle name="Normal 11 21" xfId="473"/>
    <cellStyle name="Normal 11 22" xfId="474"/>
    <cellStyle name="Normal 11 23" xfId="475"/>
    <cellStyle name="Normal 11 24" xfId="476"/>
    <cellStyle name="Normal 11 25" xfId="477"/>
    <cellStyle name="Normal 11 26" xfId="478"/>
    <cellStyle name="Normal 11 27" xfId="479"/>
    <cellStyle name="Normal 11 28" xfId="480"/>
    <cellStyle name="Normal 11 29" xfId="481"/>
    <cellStyle name="Normal 11 3" xfId="482"/>
    <cellStyle name="Normal 11 30" xfId="483"/>
    <cellStyle name="Normal 11 4" xfId="484"/>
    <cellStyle name="Normal 11 5" xfId="485"/>
    <cellStyle name="Normal 11 6" xfId="486"/>
    <cellStyle name="Normal 11 7" xfId="487"/>
    <cellStyle name="Normal 11 8" xfId="488"/>
    <cellStyle name="Normal 11 9" xfId="489"/>
    <cellStyle name="Normal 12" xfId="229"/>
    <cellStyle name="Normal 12 2" xfId="490"/>
    <cellStyle name="Normal 12 2 2" xfId="491"/>
    <cellStyle name="Normal 12 2 3" xfId="492"/>
    <cellStyle name="Normal 12 2 4" xfId="493"/>
    <cellStyle name="Normal 12 2 5" xfId="494"/>
    <cellStyle name="Normal 12 2 6" xfId="495"/>
    <cellStyle name="Normal 12 2 7" xfId="496"/>
    <cellStyle name="Normal 12 2 8" xfId="497"/>
    <cellStyle name="Normal 12 3" xfId="2641"/>
    <cellStyle name="Normal 13" xfId="230"/>
    <cellStyle name="Normal 13 2" xfId="1690"/>
    <cellStyle name="Normal 13 2 2" xfId="2642"/>
    <cellStyle name="Normal 13 3" xfId="2643"/>
    <cellStyle name="Normal 13 4" xfId="2644"/>
    <cellStyle name="Normal 14" xfId="231"/>
    <cellStyle name="Normal 14 2" xfId="1692"/>
    <cellStyle name="Normal 14 2 2" xfId="2645"/>
    <cellStyle name="Normal 14 3" xfId="2646"/>
    <cellStyle name="Normal 14 4" xfId="2647"/>
    <cellStyle name="Normal 15" xfId="232"/>
    <cellStyle name="Normal 15 2" xfId="1693"/>
    <cellStyle name="Normal 15 2 2" xfId="2648"/>
    <cellStyle name="Normal 15 3" xfId="2649"/>
    <cellStyle name="Normal 15 4" xfId="2650"/>
    <cellStyle name="Normal 15 5" xfId="2651"/>
    <cellStyle name="Normal 16" xfId="233"/>
    <cellStyle name="Normal 16 2" xfId="2652"/>
    <cellStyle name="Normal 16 3" xfId="2653"/>
    <cellStyle name="Normal 17" xfId="234"/>
    <cellStyle name="Normal 17 2" xfId="2654"/>
    <cellStyle name="Normal 17 3" xfId="2655"/>
    <cellStyle name="Normal 18" xfId="235"/>
    <cellStyle name="Normal 18 2" xfId="2656"/>
    <cellStyle name="Normal 18 3" xfId="2657"/>
    <cellStyle name="Normal 19" xfId="236"/>
    <cellStyle name="Normal 19 2" xfId="2658"/>
    <cellStyle name="Normal 19 3" xfId="2659"/>
    <cellStyle name="Normal 2" xfId="2"/>
    <cellStyle name="Normal 2 10" xfId="393"/>
    <cellStyle name="Normal 2 10 2" xfId="499"/>
    <cellStyle name="Normal 2 10 2 2" xfId="1222"/>
    <cellStyle name="Normal 2 10 2 2 2" xfId="2660"/>
    <cellStyle name="Normal 2 10 2 3" xfId="2661"/>
    <cellStyle name="Normal 2 10 3" xfId="498"/>
    <cellStyle name="Normal 2 11" xfId="500"/>
    <cellStyle name="Normal 2 11 2" xfId="501"/>
    <cellStyle name="Normal 2 11 2 2" xfId="1223"/>
    <cellStyle name="Normal 2 11 2 2 2" xfId="2662"/>
    <cellStyle name="Normal 2 11 2 3" xfId="2663"/>
    <cellStyle name="Normal 2 12" xfId="502"/>
    <cellStyle name="Normal 2 12 10" xfId="1224"/>
    <cellStyle name="Normal 2 12 11" xfId="1225"/>
    <cellStyle name="Normal 2 12 12" xfId="1226"/>
    <cellStyle name="Normal 2 12 13" xfId="1227"/>
    <cellStyle name="Normal 2 12 14" xfId="1228"/>
    <cellStyle name="Normal 2 12 15" xfId="1229"/>
    <cellStyle name="Normal 2 12 16" xfId="1230"/>
    <cellStyle name="Normal 2 12 17" xfId="1231"/>
    <cellStyle name="Normal 2 12 18" xfId="1232"/>
    <cellStyle name="Normal 2 12 19" xfId="1233"/>
    <cellStyle name="Normal 2 12 2" xfId="503"/>
    <cellStyle name="Normal 2 12 2 2" xfId="1235"/>
    <cellStyle name="Normal 2 12 2 3" xfId="1234"/>
    <cellStyle name="Normal 2 12 2 3 2" xfId="2664"/>
    <cellStyle name="Normal 2 12 2 4" xfId="2665"/>
    <cellStyle name="Normal 2 12 3" xfId="504"/>
    <cellStyle name="Normal 2 12 3 2" xfId="1236"/>
    <cellStyle name="Normal 2 12 4" xfId="1237"/>
    <cellStyle name="Normal 2 12 5" xfId="1238"/>
    <cellStyle name="Normal 2 12 6" xfId="1239"/>
    <cellStyle name="Normal 2 12 7" xfId="1240"/>
    <cellStyle name="Normal 2 12 8" xfId="1241"/>
    <cellStyle name="Normal 2 12 9" xfId="1242"/>
    <cellStyle name="Normal 2 13" xfId="505"/>
    <cellStyle name="Normal 2 13 2" xfId="506"/>
    <cellStyle name="Normal 2 13 2 2" xfId="1243"/>
    <cellStyle name="Normal 2 13 2 2 2" xfId="2666"/>
    <cellStyle name="Normal 2 13 2 3" xfId="2667"/>
    <cellStyle name="Normal 2 13 3" xfId="507"/>
    <cellStyle name="Normal 2 14" xfId="508"/>
    <cellStyle name="Normal 2 14 2" xfId="509"/>
    <cellStyle name="Normal 2 14 2 2" xfId="1244"/>
    <cellStyle name="Normal 2 14 2 2 2" xfId="2668"/>
    <cellStyle name="Normal 2 14 2 3" xfId="2669"/>
    <cellStyle name="Normal 2 14 3" xfId="510"/>
    <cellStyle name="Normal 2 15" xfId="511"/>
    <cellStyle name="Normal 2 15 2" xfId="512"/>
    <cellStyle name="Normal 2 15 2 2" xfId="513"/>
    <cellStyle name="Normal 2 15 2 3" xfId="1245"/>
    <cellStyle name="Normal 2 15 2 3 2" xfId="2670"/>
    <cellStyle name="Normal 2 15 2 4" xfId="2671"/>
    <cellStyle name="Normal 2 15 3" xfId="514"/>
    <cellStyle name="Normal 2 15 4" xfId="515"/>
    <cellStyle name="Normal 2 15 5" xfId="516"/>
    <cellStyle name="Normal 2 15 6" xfId="517"/>
    <cellStyle name="Normal 2 15 7" xfId="518"/>
    <cellStyle name="Normal 2 15 8" xfId="519"/>
    <cellStyle name="Normal 2 16" xfId="520"/>
    <cellStyle name="Normal 2 16 2" xfId="521"/>
    <cellStyle name="Normal 2 16 2 2" xfId="522"/>
    <cellStyle name="Normal 2 16 2 3" xfId="1246"/>
    <cellStyle name="Normal 2 16 2 3 2" xfId="2672"/>
    <cellStyle name="Normal 2 16 2 4" xfId="2673"/>
    <cellStyle name="Normal 2 16 3" xfId="523"/>
    <cellStyle name="Normal 2 16 4" xfId="524"/>
    <cellStyle name="Normal 2 16 5" xfId="525"/>
    <cellStyle name="Normal 2 16 6" xfId="526"/>
    <cellStyle name="Normal 2 16 7" xfId="527"/>
    <cellStyle name="Normal 2 16 8" xfId="528"/>
    <cellStyle name="Normal 2 17" xfId="529"/>
    <cellStyle name="Normal 2 17 2" xfId="530"/>
    <cellStyle name="Normal 2 17 2 2" xfId="531"/>
    <cellStyle name="Normal 2 17 2 3" xfId="1247"/>
    <cellStyle name="Normal 2 17 2 3 2" xfId="2674"/>
    <cellStyle name="Normal 2 17 2 4" xfId="2675"/>
    <cellStyle name="Normal 2 17 3" xfId="532"/>
    <cellStyle name="Normal 2 17 4" xfId="533"/>
    <cellStyle name="Normal 2 17 5" xfId="534"/>
    <cellStyle name="Normal 2 17 6" xfId="535"/>
    <cellStyle name="Normal 2 17 7" xfId="536"/>
    <cellStyle name="Normal 2 17 8" xfId="537"/>
    <cellStyle name="Normal 2 18" xfId="538"/>
    <cellStyle name="Normal 2 18 10" xfId="2676"/>
    <cellStyle name="Normal 2 18 2" xfId="539"/>
    <cellStyle name="Normal 2 18 3" xfId="540"/>
    <cellStyle name="Normal 2 18 4" xfId="541"/>
    <cellStyle name="Normal 2 18 5" xfId="542"/>
    <cellStyle name="Normal 2 18 6" xfId="543"/>
    <cellStyle name="Normal 2 18 7" xfId="544"/>
    <cellStyle name="Normal 2 18 8" xfId="545"/>
    <cellStyle name="Normal 2 18 9" xfId="1248"/>
    <cellStyle name="Normal 2 18 9 2" xfId="2677"/>
    <cellStyle name="Normal 2 19" xfId="546"/>
    <cellStyle name="Normal 2 19 2" xfId="547"/>
    <cellStyle name="Normal 2 19 3" xfId="548"/>
    <cellStyle name="Normal 2 19 4" xfId="549"/>
    <cellStyle name="Normal 2 19 5" xfId="550"/>
    <cellStyle name="Normal 2 19 6" xfId="551"/>
    <cellStyle name="Normal 2 19 7" xfId="552"/>
    <cellStyle name="Normal 2 19 8" xfId="1249"/>
    <cellStyle name="Normal 2 19 8 2" xfId="2678"/>
    <cellStyle name="Normal 2 19 9" xfId="2679"/>
    <cellStyle name="Normal 2 2" xfId="237"/>
    <cellStyle name="Normal 2 2 10" xfId="553"/>
    <cellStyle name="Normal 2 2 10 2" xfId="554"/>
    <cellStyle name="Normal 2 2 10 3" xfId="1250"/>
    <cellStyle name="Normal 2 2 10 3 2" xfId="2680"/>
    <cellStyle name="Normal 2 2 10 4" xfId="2681"/>
    <cellStyle name="Normal 2 2 11" xfId="555"/>
    <cellStyle name="Normal 2 2 11 2" xfId="556"/>
    <cellStyle name="Normal 2 2 11 3" xfId="1251"/>
    <cellStyle name="Normal 2 2 11 3 2" xfId="2682"/>
    <cellStyle name="Normal 2 2 11 4" xfId="2683"/>
    <cellStyle name="Normal 2 2 12" xfId="557"/>
    <cellStyle name="Normal 2 2 12 2" xfId="558"/>
    <cellStyle name="Normal 2 2 12 3" xfId="1252"/>
    <cellStyle name="Normal 2 2 12 3 2" xfId="2684"/>
    <cellStyle name="Normal 2 2 12 4" xfId="2685"/>
    <cellStyle name="Normal 2 2 13" xfId="559"/>
    <cellStyle name="Normal 2 2 13 2" xfId="560"/>
    <cellStyle name="Normal 2 2 13 3" xfId="1253"/>
    <cellStyle name="Normal 2 2 13 3 2" xfId="2686"/>
    <cellStyle name="Normal 2 2 13 4" xfId="2687"/>
    <cellStyle name="Normal 2 2 14" xfId="561"/>
    <cellStyle name="Normal 2 2 14 2" xfId="562"/>
    <cellStyle name="Normal 2 2 14 3" xfId="1254"/>
    <cellStyle name="Normal 2 2 14 3 2" xfId="2688"/>
    <cellStyle name="Normal 2 2 14 4" xfId="2689"/>
    <cellStyle name="Normal 2 2 15" xfId="563"/>
    <cellStyle name="Normal 2 2 15 2" xfId="564"/>
    <cellStyle name="Normal 2 2 15 3" xfId="1255"/>
    <cellStyle name="Normal 2 2 15 3 2" xfId="2690"/>
    <cellStyle name="Normal 2 2 15 4" xfId="2691"/>
    <cellStyle name="Normal 2 2 16" xfId="565"/>
    <cellStyle name="Normal 2 2 16 2" xfId="566"/>
    <cellStyle name="Normal 2 2 16 3" xfId="1256"/>
    <cellStyle name="Normal 2 2 16 3 2" xfId="2692"/>
    <cellStyle name="Normal 2 2 16 4" xfId="2693"/>
    <cellStyle name="Normal 2 2 17" xfId="567"/>
    <cellStyle name="Normal 2 2 17 2" xfId="568"/>
    <cellStyle name="Normal 2 2 17 3" xfId="1257"/>
    <cellStyle name="Normal 2 2 17 3 2" xfId="2694"/>
    <cellStyle name="Normal 2 2 17 4" xfId="2695"/>
    <cellStyle name="Normal 2 2 18" xfId="569"/>
    <cellStyle name="Normal 2 2 18 2" xfId="570"/>
    <cellStyle name="Normal 2 2 18 3" xfId="1258"/>
    <cellStyle name="Normal 2 2 18 3 2" xfId="2696"/>
    <cellStyle name="Normal 2 2 18 4" xfId="2697"/>
    <cellStyle name="Normal 2 2 19" xfId="571"/>
    <cellStyle name="Normal 2 2 19 2" xfId="572"/>
    <cellStyle name="Normal 2 2 19 3" xfId="1259"/>
    <cellStyle name="Normal 2 2 19 3 2" xfId="2698"/>
    <cellStyle name="Normal 2 2 19 4" xfId="2699"/>
    <cellStyle name="Normal 2 2 2" xfId="238"/>
    <cellStyle name="Normal 2 2 2 2" xfId="573"/>
    <cellStyle name="Normal 2 2 2 2 2" xfId="1260"/>
    <cellStyle name="Normal 2 2 2 2 2 2" xfId="2700"/>
    <cellStyle name="Normal 2 2 2 2 3" xfId="2701"/>
    <cellStyle name="Normal 2 2 2 3" xfId="574"/>
    <cellStyle name="Normal 2 2 2 3 2" xfId="1261"/>
    <cellStyle name="Normal 2 2 2 3 2 2" xfId="2702"/>
    <cellStyle name="Normal 2 2 2 3 3" xfId="2703"/>
    <cellStyle name="Normal 2 2 2 4" xfId="575"/>
    <cellStyle name="Normal 2 2 2 4 2" xfId="1262"/>
    <cellStyle name="Normal 2 2 2 4 2 2" xfId="2704"/>
    <cellStyle name="Normal 2 2 2 4 3" xfId="2705"/>
    <cellStyle name="Normal 2 2 2 5" xfId="576"/>
    <cellStyle name="Normal 2 2 2 5 2" xfId="1263"/>
    <cellStyle name="Normal 2 2 2 5 2 2" xfId="2706"/>
    <cellStyle name="Normal 2 2 2 5 3" xfId="2707"/>
    <cellStyle name="Normal 2 2 2 6" xfId="577"/>
    <cellStyle name="Normal 2 2 2 6 2" xfId="1264"/>
    <cellStyle name="Normal 2 2 2 6 2 2" xfId="2708"/>
    <cellStyle name="Normal 2 2 2 6 3" xfId="2709"/>
    <cellStyle name="Normal 2 2 2 7" xfId="578"/>
    <cellStyle name="Normal 2 2 2 7 2" xfId="1265"/>
    <cellStyle name="Normal 2 2 2 7 2 2" xfId="2710"/>
    <cellStyle name="Normal 2 2 2 7 3" xfId="2711"/>
    <cellStyle name="Normal 2 2 20" xfId="579"/>
    <cellStyle name="Normal 2 2 20 2" xfId="580"/>
    <cellStyle name="Normal 2 2 20 3" xfId="1266"/>
    <cellStyle name="Normal 2 2 20 3 2" xfId="2712"/>
    <cellStyle name="Normal 2 2 20 4" xfId="2713"/>
    <cellStyle name="Normal 2 2 21" xfId="581"/>
    <cellStyle name="Normal 2 2 21 2" xfId="582"/>
    <cellStyle name="Normal 2 2 21 3" xfId="1267"/>
    <cellStyle name="Normal 2 2 21 3 2" xfId="2714"/>
    <cellStyle name="Normal 2 2 21 4" xfId="2715"/>
    <cellStyle name="Normal 2 2 22" xfId="583"/>
    <cellStyle name="Normal 2 2 22 2" xfId="584"/>
    <cellStyle name="Normal 2 2 22 3" xfId="1268"/>
    <cellStyle name="Normal 2 2 22 3 2" xfId="2716"/>
    <cellStyle name="Normal 2 2 22 4" xfId="2717"/>
    <cellStyle name="Normal 2 2 23" xfId="585"/>
    <cellStyle name="Normal 2 2 23 2" xfId="586"/>
    <cellStyle name="Normal 2 2 23 3" xfId="1269"/>
    <cellStyle name="Normal 2 2 23 3 2" xfId="2718"/>
    <cellStyle name="Normal 2 2 23 4" xfId="2719"/>
    <cellStyle name="Normal 2 2 24" xfId="587"/>
    <cellStyle name="Normal 2 2 24 2" xfId="588"/>
    <cellStyle name="Normal 2 2 24 3" xfId="1270"/>
    <cellStyle name="Normal 2 2 24 3 2" xfId="2720"/>
    <cellStyle name="Normal 2 2 24 4" xfId="2721"/>
    <cellStyle name="Normal 2 2 25" xfId="589"/>
    <cellStyle name="Normal 2 2 25 2" xfId="590"/>
    <cellStyle name="Normal 2 2 25 3" xfId="1271"/>
    <cellStyle name="Normal 2 2 25 3 2" xfId="2722"/>
    <cellStyle name="Normal 2 2 25 4" xfId="2723"/>
    <cellStyle name="Normal 2 2 26" xfId="591"/>
    <cellStyle name="Normal 2 2 26 2" xfId="592"/>
    <cellStyle name="Normal 2 2 26 3" xfId="1272"/>
    <cellStyle name="Normal 2 2 26 3 2" xfId="2724"/>
    <cellStyle name="Normal 2 2 26 4" xfId="2725"/>
    <cellStyle name="Normal 2 2 27" xfId="593"/>
    <cellStyle name="Normal 2 2 27 2" xfId="594"/>
    <cellStyle name="Normal 2 2 27 3" xfId="1273"/>
    <cellStyle name="Normal 2 2 27 3 2" xfId="2726"/>
    <cellStyle name="Normal 2 2 27 4" xfId="2727"/>
    <cellStyle name="Normal 2 2 28" xfId="595"/>
    <cellStyle name="Normal 2 2 28 2" xfId="596"/>
    <cellStyle name="Normal 2 2 28 3" xfId="1274"/>
    <cellStyle name="Normal 2 2 28 3 2" xfId="2728"/>
    <cellStyle name="Normal 2 2 28 4" xfId="2729"/>
    <cellStyle name="Normal 2 2 29" xfId="597"/>
    <cellStyle name="Normal 2 2 29 2" xfId="598"/>
    <cellStyle name="Normal 2 2 29 3" xfId="1275"/>
    <cellStyle name="Normal 2 2 29 3 2" xfId="2730"/>
    <cellStyle name="Normal 2 2 29 4" xfId="2731"/>
    <cellStyle name="Normal 2 2 3" xfId="599"/>
    <cellStyle name="Normal 2 2 3 2" xfId="600"/>
    <cellStyle name="Normal 2 2 3 2 2" xfId="1277"/>
    <cellStyle name="Normal 2 2 3 2 2 2" xfId="2732"/>
    <cellStyle name="Normal 2 2 3 2 3" xfId="2733"/>
    <cellStyle name="Normal 2 2 3 3" xfId="601"/>
    <cellStyle name="Normal 2 2 3 3 2" xfId="1278"/>
    <cellStyle name="Normal 2 2 3 3 2 2" xfId="2734"/>
    <cellStyle name="Normal 2 2 3 3 3" xfId="2735"/>
    <cellStyle name="Normal 2 2 3 4" xfId="602"/>
    <cellStyle name="Normal 2 2 3 4 2" xfId="1279"/>
    <cellStyle name="Normal 2 2 3 4 2 2" xfId="2736"/>
    <cellStyle name="Normal 2 2 3 4 3" xfId="2737"/>
    <cellStyle name="Normal 2 2 3 5" xfId="603"/>
    <cellStyle name="Normal 2 2 3 6" xfId="1276"/>
    <cellStyle name="Normal 2 2 3 6 2" xfId="2738"/>
    <cellStyle name="Normal 2 2 3 7" xfId="1615"/>
    <cellStyle name="Normal 2 2 3 7 2" xfId="2739"/>
    <cellStyle name="Normal 2 2 3 8" xfId="2740"/>
    <cellStyle name="Normal 2 2 30" xfId="604"/>
    <cellStyle name="Normal 2 2 30 2" xfId="605"/>
    <cellStyle name="Normal 2 2 30 3" xfId="1280"/>
    <cellStyle name="Normal 2 2 30 3 2" xfId="2741"/>
    <cellStyle name="Normal 2 2 30 4" xfId="2742"/>
    <cellStyle name="Normal 2 2 31" xfId="606"/>
    <cellStyle name="Normal 2 2 31 2" xfId="607"/>
    <cellStyle name="Normal 2 2 31 3" xfId="1281"/>
    <cellStyle name="Normal 2 2 31 3 2" xfId="2743"/>
    <cellStyle name="Normal 2 2 31 4" xfId="2744"/>
    <cellStyle name="Normal 2 2 32" xfId="608"/>
    <cellStyle name="Normal 2 2 32 2" xfId="609"/>
    <cellStyle name="Normal 2 2 32 3" xfId="1282"/>
    <cellStyle name="Normal 2 2 32 3 2" xfId="2745"/>
    <cellStyle name="Normal 2 2 32 4" xfId="2746"/>
    <cellStyle name="Normal 2 2 33" xfId="610"/>
    <cellStyle name="Normal 2 2 33 2" xfId="611"/>
    <cellStyle name="Normal 2 2 33 3" xfId="1283"/>
    <cellStyle name="Normal 2 2 33 3 2" xfId="2747"/>
    <cellStyle name="Normal 2 2 33 4" xfId="2748"/>
    <cellStyle name="Normal 2 2 34" xfId="612"/>
    <cellStyle name="Normal 2 2 34 2" xfId="613"/>
    <cellStyle name="Normal 2 2 34 3" xfId="1284"/>
    <cellStyle name="Normal 2 2 34 3 2" xfId="2749"/>
    <cellStyle name="Normal 2 2 34 4" xfId="2750"/>
    <cellStyle name="Normal 2 2 35" xfId="614"/>
    <cellStyle name="Normal 2 2 35 2" xfId="615"/>
    <cellStyle name="Normal 2 2 35 3" xfId="1285"/>
    <cellStyle name="Normal 2 2 35 3 2" xfId="2751"/>
    <cellStyle name="Normal 2 2 35 4" xfId="2752"/>
    <cellStyle name="Normal 2 2 36" xfId="616"/>
    <cellStyle name="Normal 2 2 36 2" xfId="617"/>
    <cellStyle name="Normal 2 2 36 3" xfId="1286"/>
    <cellStyle name="Normal 2 2 36 3 2" xfId="2753"/>
    <cellStyle name="Normal 2 2 36 4" xfId="2754"/>
    <cellStyle name="Normal 2 2 37" xfId="618"/>
    <cellStyle name="Normal 2 2 37 2" xfId="619"/>
    <cellStyle name="Normal 2 2 37 3" xfId="1287"/>
    <cellStyle name="Normal 2 2 37 3 2" xfId="2755"/>
    <cellStyle name="Normal 2 2 37 4" xfId="2756"/>
    <cellStyle name="Normal 2 2 38" xfId="620"/>
    <cellStyle name="Normal 2 2 38 2" xfId="621"/>
    <cellStyle name="Normal 2 2 38 3" xfId="1288"/>
    <cellStyle name="Normal 2 2 38 3 2" xfId="2757"/>
    <cellStyle name="Normal 2 2 38 4" xfId="2758"/>
    <cellStyle name="Normal 2 2 39" xfId="622"/>
    <cellStyle name="Normal 2 2 39 2" xfId="623"/>
    <cellStyle name="Normal 2 2 39 3" xfId="1289"/>
    <cellStyle name="Normal 2 2 39 3 2" xfId="2759"/>
    <cellStyle name="Normal 2 2 39 4" xfId="2760"/>
    <cellStyle name="Normal 2 2 4" xfId="624"/>
    <cellStyle name="Normal 2 2 4 2" xfId="625"/>
    <cellStyle name="Normal 2 2 4 3" xfId="1290"/>
    <cellStyle name="Normal 2 2 4 3 2" xfId="2761"/>
    <cellStyle name="Normal 2 2 4 4" xfId="2762"/>
    <cellStyle name="Normal 2 2 40" xfId="626"/>
    <cellStyle name="Normal 2 2 40 2" xfId="627"/>
    <cellStyle name="Normal 2 2 40 3" xfId="1291"/>
    <cellStyle name="Normal 2 2 40 3 2" xfId="2763"/>
    <cellStyle name="Normal 2 2 40 4" xfId="2764"/>
    <cellStyle name="Normal 2 2 41" xfId="628"/>
    <cellStyle name="Normal 2 2 41 2" xfId="629"/>
    <cellStyle name="Normal 2 2 41 3" xfId="1292"/>
    <cellStyle name="Normal 2 2 41 3 2" xfId="2765"/>
    <cellStyle name="Normal 2 2 41 4" xfId="2766"/>
    <cellStyle name="Normal 2 2 42" xfId="630"/>
    <cellStyle name="Normal 2 2 42 2" xfId="1293"/>
    <cellStyle name="Normal 2 2 42 2 2" xfId="2767"/>
    <cellStyle name="Normal 2 2 42 3" xfId="2768"/>
    <cellStyle name="Normal 2 2 43" xfId="631"/>
    <cellStyle name="Normal 2 2 43 2" xfId="1294"/>
    <cellStyle name="Normal 2 2 43 2 2" xfId="2769"/>
    <cellStyle name="Normal 2 2 43 3" xfId="2770"/>
    <cellStyle name="Normal 2 2 44" xfId="632"/>
    <cellStyle name="Normal 2 2 44 2" xfId="1295"/>
    <cellStyle name="Normal 2 2 44 2 2" xfId="2771"/>
    <cellStyle name="Normal 2 2 44 3" xfId="2772"/>
    <cellStyle name="Normal 2 2 45" xfId="633"/>
    <cellStyle name="Normal 2 2 45 2" xfId="1296"/>
    <cellStyle name="Normal 2 2 45 2 2" xfId="2773"/>
    <cellStyle name="Normal 2 2 45 3" xfId="2774"/>
    <cellStyle name="Normal 2 2 46" xfId="634"/>
    <cellStyle name="Normal 2 2 46 2" xfId="1297"/>
    <cellStyle name="Normal 2 2 46 2 2" xfId="2775"/>
    <cellStyle name="Normal 2 2 46 3" xfId="2776"/>
    <cellStyle name="Normal 2 2 47" xfId="635"/>
    <cellStyle name="Normal 2 2 47 2" xfId="1298"/>
    <cellStyle name="Normal 2 2 47 2 2" xfId="2777"/>
    <cellStyle name="Normal 2 2 47 3" xfId="2778"/>
    <cellStyle name="Normal 2 2 48" xfId="636"/>
    <cellStyle name="Normal 2 2 48 2" xfId="1299"/>
    <cellStyle name="Normal 2 2 48 2 2" xfId="2779"/>
    <cellStyle name="Normal 2 2 48 3" xfId="2780"/>
    <cellStyle name="Normal 2 2 49" xfId="637"/>
    <cellStyle name="Normal 2 2 49 2" xfId="1300"/>
    <cellStyle name="Normal 2 2 49 2 2" xfId="2781"/>
    <cellStyle name="Normal 2 2 49 3" xfId="2782"/>
    <cellStyle name="Normal 2 2 5" xfId="638"/>
    <cellStyle name="Normal 2 2 5 2" xfId="639"/>
    <cellStyle name="Normal 2 2 5 3" xfId="1301"/>
    <cellStyle name="Normal 2 2 5 3 2" xfId="2783"/>
    <cellStyle name="Normal 2 2 5 4" xfId="2784"/>
    <cellStyle name="Normal 2 2 50" xfId="640"/>
    <cellStyle name="Normal 2 2 50 2" xfId="1302"/>
    <cellStyle name="Normal 2 2 50 2 2" xfId="2785"/>
    <cellStyle name="Normal 2 2 50 3" xfId="2786"/>
    <cellStyle name="Normal 2 2 51" xfId="641"/>
    <cellStyle name="Normal 2 2 51 2" xfId="1303"/>
    <cellStyle name="Normal 2 2 51 2 2" xfId="2787"/>
    <cellStyle name="Normal 2 2 51 3" xfId="2788"/>
    <cellStyle name="Normal 2 2 52" xfId="642"/>
    <cellStyle name="Normal 2 2 52 2" xfId="1304"/>
    <cellStyle name="Normal 2 2 52 2 2" xfId="2789"/>
    <cellStyle name="Normal 2 2 52 3" xfId="2790"/>
    <cellStyle name="Normal 2 2 53" xfId="643"/>
    <cellStyle name="Normal 2 2 53 2" xfId="1305"/>
    <cellStyle name="Normal 2 2 53 2 2" xfId="2791"/>
    <cellStyle name="Normal 2 2 53 3" xfId="2792"/>
    <cellStyle name="Normal 2 2 54" xfId="644"/>
    <cellStyle name="Normal 2 2 54 2" xfId="1306"/>
    <cellStyle name="Normal 2 2 54 2 2" xfId="2793"/>
    <cellStyle name="Normal 2 2 54 3" xfId="2794"/>
    <cellStyle name="Normal 2 2 55" xfId="645"/>
    <cellStyle name="Normal 2 2 55 2" xfId="1307"/>
    <cellStyle name="Normal 2 2 55 2 2" xfId="2795"/>
    <cellStyle name="Normal 2 2 55 3" xfId="2796"/>
    <cellStyle name="Normal 2 2 56" xfId="646"/>
    <cellStyle name="Normal 2 2 56 2" xfId="1308"/>
    <cellStyle name="Normal 2 2 56 2 2" xfId="2797"/>
    <cellStyle name="Normal 2 2 56 3" xfId="2798"/>
    <cellStyle name="Normal 2 2 57" xfId="647"/>
    <cellStyle name="Normal 2 2 57 2" xfId="1309"/>
    <cellStyle name="Normal 2 2 57 2 2" xfId="2799"/>
    <cellStyle name="Normal 2 2 57 3" xfId="2800"/>
    <cellStyle name="Normal 2 2 58" xfId="648"/>
    <cellStyle name="Normal 2 2 58 2" xfId="1310"/>
    <cellStyle name="Normal 2 2 58 2 2" xfId="2801"/>
    <cellStyle name="Normal 2 2 58 3" xfId="2802"/>
    <cellStyle name="Normal 2 2 59" xfId="649"/>
    <cellStyle name="Normal 2 2 59 2" xfId="1311"/>
    <cellStyle name="Normal 2 2 59 2 2" xfId="2803"/>
    <cellStyle name="Normal 2 2 59 3" xfId="2804"/>
    <cellStyle name="Normal 2 2 6" xfId="650"/>
    <cellStyle name="Normal 2 2 6 2" xfId="651"/>
    <cellStyle name="Normal 2 2 6 3" xfId="1312"/>
    <cellStyle name="Normal 2 2 6 3 2" xfId="2805"/>
    <cellStyle name="Normal 2 2 6 4" xfId="2806"/>
    <cellStyle name="Normal 2 2 60" xfId="652"/>
    <cellStyle name="Normal 2 2 60 2" xfId="1313"/>
    <cellStyle name="Normal 2 2 60 2 2" xfId="2807"/>
    <cellStyle name="Normal 2 2 60 3" xfId="2808"/>
    <cellStyle name="Normal 2 2 61" xfId="653"/>
    <cellStyle name="Normal 2 2 61 2" xfId="1314"/>
    <cellStyle name="Normal 2 2 61 2 2" xfId="2809"/>
    <cellStyle name="Normal 2 2 61 3" xfId="2810"/>
    <cellStyle name="Normal 2 2 62" xfId="654"/>
    <cellStyle name="Normal 2 2 62 2" xfId="1315"/>
    <cellStyle name="Normal 2 2 62 2 2" xfId="2811"/>
    <cellStyle name="Normal 2 2 62 3" xfId="2812"/>
    <cellStyle name="Normal 2 2 63" xfId="655"/>
    <cellStyle name="Normal 2 2 63 2" xfId="1316"/>
    <cellStyle name="Normal 2 2 63 2 2" xfId="2813"/>
    <cellStyle name="Normal 2 2 63 3" xfId="2814"/>
    <cellStyle name="Normal 2 2 64" xfId="656"/>
    <cellStyle name="Normal 2 2 64 2" xfId="1317"/>
    <cellStyle name="Normal 2 2 64 2 2" xfId="2815"/>
    <cellStyle name="Normal 2 2 64 3" xfId="2816"/>
    <cellStyle name="Normal 2 2 65" xfId="657"/>
    <cellStyle name="Normal 2 2 65 2" xfId="1318"/>
    <cellStyle name="Normal 2 2 65 2 2" xfId="2817"/>
    <cellStyle name="Normal 2 2 65 3" xfId="2818"/>
    <cellStyle name="Normal 2 2 66" xfId="658"/>
    <cellStyle name="Normal 2 2 66 2" xfId="1319"/>
    <cellStyle name="Normal 2 2 66 2 2" xfId="2819"/>
    <cellStyle name="Normal 2 2 66 3" xfId="2820"/>
    <cellStyle name="Normal 2 2 67" xfId="659"/>
    <cellStyle name="Normal 2 2 67 2" xfId="1320"/>
    <cellStyle name="Normal 2 2 67 2 2" xfId="2821"/>
    <cellStyle name="Normal 2 2 67 3" xfId="2822"/>
    <cellStyle name="Normal 2 2 68" xfId="660"/>
    <cellStyle name="Normal 2 2 68 2" xfId="1321"/>
    <cellStyle name="Normal 2 2 68 2 2" xfId="2823"/>
    <cellStyle name="Normal 2 2 68 3" xfId="2824"/>
    <cellStyle name="Normal 2 2 69" xfId="661"/>
    <cellStyle name="Normal 2 2 69 2" xfId="1322"/>
    <cellStyle name="Normal 2 2 69 2 2" xfId="2825"/>
    <cellStyle name="Normal 2 2 69 3" xfId="2826"/>
    <cellStyle name="Normal 2 2 7" xfId="662"/>
    <cellStyle name="Normal 2 2 7 2" xfId="663"/>
    <cellStyle name="Normal 2 2 7 3" xfId="1323"/>
    <cellStyle name="Normal 2 2 7 3 2" xfId="2827"/>
    <cellStyle name="Normal 2 2 7 4" xfId="2828"/>
    <cellStyle name="Normal 2 2 70" xfId="664"/>
    <cellStyle name="Normal 2 2 70 2" xfId="1324"/>
    <cellStyle name="Normal 2 2 70 2 2" xfId="2829"/>
    <cellStyle name="Normal 2 2 70 3" xfId="2830"/>
    <cellStyle name="Normal 2 2 71" xfId="665"/>
    <cellStyle name="Normal 2 2 71 2" xfId="1325"/>
    <cellStyle name="Normal 2 2 71 2 2" xfId="2831"/>
    <cellStyle name="Normal 2 2 71 3" xfId="2832"/>
    <cellStyle name="Normal 2 2 72" xfId="666"/>
    <cellStyle name="Normal 2 2 72 2" xfId="1326"/>
    <cellStyle name="Normal 2 2 72 2 2" xfId="2833"/>
    <cellStyle name="Normal 2 2 72 3" xfId="2834"/>
    <cellStyle name="Normal 2 2 73" xfId="667"/>
    <cellStyle name="Normal 2 2 73 2" xfId="1327"/>
    <cellStyle name="Normal 2 2 73 2 2" xfId="2835"/>
    <cellStyle name="Normal 2 2 73 3" xfId="2836"/>
    <cellStyle name="Normal 2 2 74" xfId="668"/>
    <cellStyle name="Normal 2 2 74 2" xfId="1328"/>
    <cellStyle name="Normal 2 2 74 2 2" xfId="2837"/>
    <cellStyle name="Normal 2 2 74 3" xfId="2838"/>
    <cellStyle name="Normal 2 2 75" xfId="2839"/>
    <cellStyle name="Normal 2 2 8" xfId="669"/>
    <cellStyle name="Normal 2 2 8 2" xfId="670"/>
    <cellStyle name="Normal 2 2 8 3" xfId="1329"/>
    <cellStyle name="Normal 2 2 8 3 2" xfId="2840"/>
    <cellStyle name="Normal 2 2 8 4" xfId="2841"/>
    <cellStyle name="Normal 2 2 9" xfId="671"/>
    <cellStyle name="Normal 2 2 9 2" xfId="672"/>
    <cellStyle name="Normal 2 2 9 3" xfId="1330"/>
    <cellStyle name="Normal 2 2 9 3 2" xfId="2842"/>
    <cellStyle name="Normal 2 2 9 4" xfId="2843"/>
    <cellStyle name="Normal 2 2_X ESTABLECIMIENTOS" xfId="673"/>
    <cellStyle name="Normal 2 20" xfId="674"/>
    <cellStyle name="Normal 2 20 2" xfId="675"/>
    <cellStyle name="Normal 2 20 3" xfId="1331"/>
    <cellStyle name="Normal 2 20 3 2" xfId="2844"/>
    <cellStyle name="Normal 2 20 4" xfId="2845"/>
    <cellStyle name="Normal 2 21" xfId="676"/>
    <cellStyle name="Normal 2 21 2" xfId="677"/>
    <cellStyle name="Normal 2 21 3" xfId="678"/>
    <cellStyle name="Normal 2 21 4" xfId="679"/>
    <cellStyle name="Normal 2 21 5" xfId="680"/>
    <cellStyle name="Normal 2 21 6" xfId="1332"/>
    <cellStyle name="Normal 2 21 6 2" xfId="2846"/>
    <cellStyle name="Normal 2 21 7" xfId="2847"/>
    <cellStyle name="Normal 2 22" xfId="681"/>
    <cellStyle name="Normal 2 22 2" xfId="682"/>
    <cellStyle name="Normal 2 22 3" xfId="683"/>
    <cellStyle name="Normal 2 22 4" xfId="1333"/>
    <cellStyle name="Normal 2 22 4 2" xfId="2848"/>
    <cellStyle name="Normal 2 22 5" xfId="2849"/>
    <cellStyle name="Normal 2 23" xfId="684"/>
    <cellStyle name="Normal 2 23 2" xfId="685"/>
    <cellStyle name="Normal 2 23 3" xfId="686"/>
    <cellStyle name="Normal 2 23 4" xfId="1334"/>
    <cellStyle name="Normal 2 23 4 2" xfId="2850"/>
    <cellStyle name="Normal 2 23 5" xfId="2851"/>
    <cellStyle name="Normal 2 24" xfId="687"/>
    <cellStyle name="Normal 2 24 2" xfId="688"/>
    <cellStyle name="Normal 2 24 3" xfId="689"/>
    <cellStyle name="Normal 2 24 4" xfId="1335"/>
    <cellStyle name="Normal 2 24 4 2" xfId="2852"/>
    <cellStyle name="Normal 2 24 5" xfId="2853"/>
    <cellStyle name="Normal 2 25" xfId="690"/>
    <cellStyle name="Normal 2 25 2" xfId="691"/>
    <cellStyle name="Normal 2 25 3" xfId="1336"/>
    <cellStyle name="Normal 2 25 3 2" xfId="2854"/>
    <cellStyle name="Normal 2 25 4" xfId="2855"/>
    <cellStyle name="Normal 2 26" xfId="692"/>
    <cellStyle name="Normal 2 26 2" xfId="693"/>
    <cellStyle name="Normal 2 26 3" xfId="1337"/>
    <cellStyle name="Normal 2 26 3 2" xfId="2856"/>
    <cellStyle name="Normal 2 26 4" xfId="2857"/>
    <cellStyle name="Normal 2 27" xfId="694"/>
    <cellStyle name="Normal 2 27 2" xfId="695"/>
    <cellStyle name="Normal 2 27 3" xfId="1338"/>
    <cellStyle name="Normal 2 27 3 2" xfId="2858"/>
    <cellStyle name="Normal 2 27 4" xfId="2859"/>
    <cellStyle name="Normal 2 28" xfId="696"/>
    <cellStyle name="Normal 2 28 2" xfId="697"/>
    <cellStyle name="Normal 2 28 3" xfId="1339"/>
    <cellStyle name="Normal 2 28 3 2" xfId="2860"/>
    <cellStyle name="Normal 2 28 4" xfId="2861"/>
    <cellStyle name="Normal 2 29" xfId="698"/>
    <cellStyle name="Normal 2 29 2" xfId="699"/>
    <cellStyle name="Normal 2 29 3" xfId="1340"/>
    <cellStyle name="Normal 2 29 3 2" xfId="2862"/>
    <cellStyle name="Normal 2 29 4" xfId="2863"/>
    <cellStyle name="Normal 2 3" xfId="239"/>
    <cellStyle name="Normal 2 3 10" xfId="701"/>
    <cellStyle name="Normal 2 3 11" xfId="702"/>
    <cellStyle name="Normal 2 3 12" xfId="703"/>
    <cellStyle name="Normal 2 3 13" xfId="704"/>
    <cellStyle name="Normal 2 3 14" xfId="705"/>
    <cellStyle name="Normal 2 3 15" xfId="706"/>
    <cellStyle name="Normal 2 3 16" xfId="707"/>
    <cellStyle name="Normal 2 3 17" xfId="708"/>
    <cellStyle name="Normal 2 3 18" xfId="709"/>
    <cellStyle name="Normal 2 3 19" xfId="710"/>
    <cellStyle name="Normal 2 3 2" xfId="711"/>
    <cellStyle name="Normal 2 3 2 2" xfId="712"/>
    <cellStyle name="Normal 2 3 2 2 2" xfId="1341"/>
    <cellStyle name="Normal 2 3 2 2 2 2" xfId="2864"/>
    <cellStyle name="Normal 2 3 2 2 3" xfId="2865"/>
    <cellStyle name="Normal 2 3 2 3" xfId="2866"/>
    <cellStyle name="Normal 2 3 20" xfId="713"/>
    <cellStyle name="Normal 2 3 21" xfId="714"/>
    <cellStyle name="Normal 2 3 22" xfId="715"/>
    <cellStyle name="Normal 2 3 23" xfId="716"/>
    <cellStyle name="Normal 2 3 24" xfId="717"/>
    <cellStyle name="Normal 2 3 25" xfId="718"/>
    <cellStyle name="Normal 2 3 26" xfId="719"/>
    <cellStyle name="Normal 2 3 27" xfId="720"/>
    <cellStyle name="Normal 2 3 28" xfId="721"/>
    <cellStyle name="Normal 2 3 29" xfId="722"/>
    <cellStyle name="Normal 2 3 3" xfId="723"/>
    <cellStyle name="Normal 2 3 3 2" xfId="724"/>
    <cellStyle name="Normal 2 3 3 3" xfId="1342"/>
    <cellStyle name="Normal 2 3 3 3 2" xfId="2867"/>
    <cellStyle name="Normal 2 3 3 4" xfId="2868"/>
    <cellStyle name="Normal 2 3 30" xfId="725"/>
    <cellStyle name="Normal 2 3 31" xfId="726"/>
    <cellStyle name="Normal 2 3 32" xfId="727"/>
    <cellStyle name="Normal 2 3 33" xfId="728"/>
    <cellStyle name="Normal 2 3 34" xfId="729"/>
    <cellStyle name="Normal 2 3 35" xfId="730"/>
    <cellStyle name="Normal 2 3 36" xfId="731"/>
    <cellStyle name="Normal 2 3 37" xfId="732"/>
    <cellStyle name="Normal 2 3 38" xfId="733"/>
    <cellStyle name="Normal 2 3 39" xfId="734"/>
    <cellStyle name="Normal 2 3 4" xfId="735"/>
    <cellStyle name="Normal 2 3 4 2" xfId="736"/>
    <cellStyle name="Normal 2 3 4 3" xfId="1343"/>
    <cellStyle name="Normal 2 3 4 3 2" xfId="2869"/>
    <cellStyle name="Normal 2 3 4 4" xfId="2870"/>
    <cellStyle name="Normal 2 3 40" xfId="737"/>
    <cellStyle name="Normal 2 3 41" xfId="738"/>
    <cellStyle name="Normal 2 3 42" xfId="700"/>
    <cellStyle name="Normal 2 3 43" xfId="2871"/>
    <cellStyle name="Normal 2 3 44" xfId="2872"/>
    <cellStyle name="Normal 2 3 45" xfId="2873"/>
    <cellStyle name="Normal 2 3 5" xfId="739"/>
    <cellStyle name="Normal 2 3 5 2" xfId="740"/>
    <cellStyle name="Normal 2 3 5 3" xfId="1344"/>
    <cellStyle name="Normal 2 3 5 3 2" xfId="2874"/>
    <cellStyle name="Normal 2 3 5 4" xfId="2875"/>
    <cellStyle name="Normal 2 3 6" xfId="741"/>
    <cellStyle name="Normal 2 3 6 2" xfId="742"/>
    <cellStyle name="Normal 2 3 6 3" xfId="1345"/>
    <cellStyle name="Normal 2 3 6 3 2" xfId="2876"/>
    <cellStyle name="Normal 2 3 6 4" xfId="2877"/>
    <cellStyle name="Normal 2 3 7" xfId="743"/>
    <cellStyle name="Normal 2 3 8" xfId="744"/>
    <cellStyle name="Normal 2 3 9" xfId="745"/>
    <cellStyle name="Normal 2 30" xfId="746"/>
    <cellStyle name="Normal 2 30 2" xfId="747"/>
    <cellStyle name="Normal 2 30 3" xfId="1346"/>
    <cellStyle name="Normal 2 30 3 2" xfId="2878"/>
    <cellStyle name="Normal 2 30 4" xfId="2879"/>
    <cellStyle name="Normal 2 31" xfId="748"/>
    <cellStyle name="Normal 2 31 2" xfId="749"/>
    <cellStyle name="Normal 2 31 3" xfId="1347"/>
    <cellStyle name="Normal 2 31 3 2" xfId="2880"/>
    <cellStyle name="Normal 2 31 4" xfId="2881"/>
    <cellStyle name="Normal 2 32" xfId="750"/>
    <cellStyle name="Normal 2 32 2" xfId="751"/>
    <cellStyle name="Normal 2 32 3" xfId="1348"/>
    <cellStyle name="Normal 2 32 3 2" xfId="2882"/>
    <cellStyle name="Normal 2 32 4" xfId="2883"/>
    <cellStyle name="Normal 2 33" xfId="752"/>
    <cellStyle name="Normal 2 33 2" xfId="753"/>
    <cellStyle name="Normal 2 33 3" xfId="1349"/>
    <cellStyle name="Normal 2 33 3 2" xfId="2884"/>
    <cellStyle name="Normal 2 33 4" xfId="2885"/>
    <cellStyle name="Normal 2 34" xfId="754"/>
    <cellStyle name="Normal 2 34 2" xfId="755"/>
    <cellStyle name="Normal 2 34 3" xfId="1350"/>
    <cellStyle name="Normal 2 34 3 2" xfId="2886"/>
    <cellStyle name="Normal 2 34 4" xfId="2887"/>
    <cellStyle name="Normal 2 35" xfId="756"/>
    <cellStyle name="Normal 2 35 2" xfId="757"/>
    <cellStyle name="Normal 2 35 3" xfId="1351"/>
    <cellStyle name="Normal 2 35 3 2" xfId="2888"/>
    <cellStyle name="Normal 2 35 4" xfId="2889"/>
    <cellStyle name="Normal 2 36" xfId="758"/>
    <cellStyle name="Normal 2 36 2" xfId="759"/>
    <cellStyle name="Normal 2 36 3" xfId="1352"/>
    <cellStyle name="Normal 2 36 3 2" xfId="2890"/>
    <cellStyle name="Normal 2 36 4" xfId="2891"/>
    <cellStyle name="Normal 2 37" xfId="760"/>
    <cellStyle name="Normal 2 37 2" xfId="761"/>
    <cellStyle name="Normal 2 37 3" xfId="1353"/>
    <cellStyle name="Normal 2 37 3 2" xfId="2892"/>
    <cellStyle name="Normal 2 37 4" xfId="2893"/>
    <cellStyle name="Normal 2 38" xfId="762"/>
    <cellStyle name="Normal 2 38 2" xfId="763"/>
    <cellStyle name="Normal 2 38 3" xfId="1354"/>
    <cellStyle name="Normal 2 38 3 2" xfId="2894"/>
    <cellStyle name="Normal 2 38 4" xfId="2895"/>
    <cellStyle name="Normal 2 39" xfId="764"/>
    <cellStyle name="Normal 2 39 2" xfId="765"/>
    <cellStyle name="Normal 2 39 3" xfId="1355"/>
    <cellStyle name="Normal 2 39 3 2" xfId="2896"/>
    <cellStyle name="Normal 2 39 4" xfId="2897"/>
    <cellStyle name="Normal 2 4" xfId="240"/>
    <cellStyle name="Normal 2 4 2" xfId="241"/>
    <cellStyle name="Normal 2 4 2 2" xfId="767"/>
    <cellStyle name="Normal 2 4 2 2 2" xfId="1357"/>
    <cellStyle name="Normal 2 4 2 2 2 2" xfId="2898"/>
    <cellStyle name="Normal 2 4 2 2 3" xfId="2899"/>
    <cellStyle name="Normal 2 4 3" xfId="768"/>
    <cellStyle name="Normal 2 4 3 2" xfId="1358"/>
    <cellStyle name="Normal 2 4 3 2 2" xfId="2900"/>
    <cellStyle name="Normal 2 4 3 3" xfId="1501"/>
    <cellStyle name="Normal 2 4 3 3 2" xfId="2901"/>
    <cellStyle name="Normal 2 4 3 4" xfId="2902"/>
    <cellStyle name="Normal 2 4 4" xfId="769"/>
    <cellStyle name="Normal 2 4 4 2" xfId="1359"/>
    <cellStyle name="Normal 2 4 4 2 2" xfId="2903"/>
    <cellStyle name="Normal 2 4 4 3" xfId="2904"/>
    <cellStyle name="Normal 2 4 5" xfId="766"/>
    <cellStyle name="Normal 2 4 5 2" xfId="2905"/>
    <cellStyle name="Normal 2 4 6" xfId="1356"/>
    <cellStyle name="Normal 2 4 6 2" xfId="2906"/>
    <cellStyle name="Normal 2 4 7" xfId="2907"/>
    <cellStyle name="Normal 2 40" xfId="770"/>
    <cellStyle name="Normal 2 40 2" xfId="771"/>
    <cellStyle name="Normal 2 40 3" xfId="1360"/>
    <cellStyle name="Normal 2 40 3 2" xfId="2908"/>
    <cellStyle name="Normal 2 40 4" xfId="2909"/>
    <cellStyle name="Normal 2 41" xfId="772"/>
    <cellStyle name="Normal 2 41 2" xfId="773"/>
    <cellStyle name="Normal 2 41 3" xfId="1361"/>
    <cellStyle name="Normal 2 41 3 2" xfId="2910"/>
    <cellStyle name="Normal 2 41 4" xfId="2911"/>
    <cellStyle name="Normal 2 42" xfId="774"/>
    <cellStyle name="Normal 2 42 2" xfId="775"/>
    <cellStyle name="Normal 2 42 3" xfId="776"/>
    <cellStyle name="Normal 2 42 4" xfId="777"/>
    <cellStyle name="Normal 2 42 5" xfId="778"/>
    <cellStyle name="Normal 2 42 6" xfId="779"/>
    <cellStyle name="Normal 2 42 7" xfId="780"/>
    <cellStyle name="Normal 2 42 8" xfId="1362"/>
    <cellStyle name="Normal 2 42 8 2" xfId="2912"/>
    <cellStyle name="Normal 2 42 9" xfId="2913"/>
    <cellStyle name="Normal 2 43" xfId="781"/>
    <cellStyle name="Normal 2 43 2" xfId="782"/>
    <cellStyle name="Normal 2 43 3" xfId="1363"/>
    <cellStyle name="Normal 2 43 3 2" xfId="2914"/>
    <cellStyle name="Normal 2 43 4" xfId="2915"/>
    <cellStyle name="Normal 2 44" xfId="783"/>
    <cellStyle name="Normal 2 44 2" xfId="784"/>
    <cellStyle name="Normal 2 44 3" xfId="1364"/>
    <cellStyle name="Normal 2 44 3 2" xfId="2916"/>
    <cellStyle name="Normal 2 44 4" xfId="2917"/>
    <cellStyle name="Normal 2 45" xfId="785"/>
    <cellStyle name="Normal 2 45 2" xfId="786"/>
    <cellStyle name="Normal 2 45 2 2" xfId="787"/>
    <cellStyle name="Normal 2 45 3" xfId="788"/>
    <cellStyle name="Normal 2 45 4" xfId="1365"/>
    <cellStyle name="Normal 2 45 4 2" xfId="2918"/>
    <cellStyle name="Normal 2 45 5" xfId="2919"/>
    <cellStyle name="Normal 2 46" xfId="789"/>
    <cellStyle name="Normal 2 46 2" xfId="1366"/>
    <cellStyle name="Normal 2 46 2 2" xfId="2920"/>
    <cellStyle name="Normal 2 46 3" xfId="2921"/>
    <cellStyle name="Normal 2 47" xfId="790"/>
    <cellStyle name="Normal 2 47 2" xfId="1367"/>
    <cellStyle name="Normal 2 47 2 2" xfId="2922"/>
    <cellStyle name="Normal 2 47 3" xfId="2923"/>
    <cellStyle name="Normal 2 48" xfId="791"/>
    <cellStyle name="Normal 2 48 2" xfId="1368"/>
    <cellStyle name="Normal 2 48 2 2" xfId="2924"/>
    <cellStyle name="Normal 2 48 3" xfId="2925"/>
    <cellStyle name="Normal 2 49" xfId="792"/>
    <cellStyle name="Normal 2 49 2" xfId="1369"/>
    <cellStyle name="Normal 2 49 2 2" xfId="2926"/>
    <cellStyle name="Normal 2 49 3" xfId="2927"/>
    <cellStyle name="Normal 2 5" xfId="242"/>
    <cellStyle name="Normal 2 5 10" xfId="793"/>
    <cellStyle name="Normal 2 5 11" xfId="794"/>
    <cellStyle name="Normal 2 5 12" xfId="795"/>
    <cellStyle name="Normal 2 5 13" xfId="796"/>
    <cellStyle name="Normal 2 5 14" xfId="797"/>
    <cellStyle name="Normal 2 5 15" xfId="798"/>
    <cellStyle name="Normal 2 5 16" xfId="799"/>
    <cellStyle name="Normal 2 5 17" xfId="800"/>
    <cellStyle name="Normal 2 5 18" xfId="801"/>
    <cellStyle name="Normal 2 5 18 2" xfId="1370"/>
    <cellStyle name="Normal 2 5 18 2 2" xfId="2928"/>
    <cellStyle name="Normal 2 5 18 3" xfId="2929"/>
    <cellStyle name="Normal 2 5 2" xfId="243"/>
    <cellStyle name="Normal 2 5 3" xfId="802"/>
    <cellStyle name="Normal 2 5 4" xfId="803"/>
    <cellStyle name="Normal 2 5 5" xfId="804"/>
    <cellStyle name="Normal 2 5 6" xfId="805"/>
    <cellStyle name="Normal 2 5 7" xfId="806"/>
    <cellStyle name="Normal 2 5 8" xfId="807"/>
    <cellStyle name="Normal 2 5 9" xfId="808"/>
    <cellStyle name="Normal 2 50" xfId="809"/>
    <cellStyle name="Normal 2 50 2" xfId="1371"/>
    <cellStyle name="Normal 2 50 2 2" xfId="2930"/>
    <cellStyle name="Normal 2 50 3" xfId="2931"/>
    <cellStyle name="Normal 2 51" xfId="810"/>
    <cellStyle name="Normal 2 51 2" xfId="1372"/>
    <cellStyle name="Normal 2 51 2 2" xfId="2932"/>
    <cellStyle name="Normal 2 51 3" xfId="2933"/>
    <cellStyle name="Normal 2 52" xfId="811"/>
    <cellStyle name="Normal 2 52 2" xfId="1373"/>
    <cellStyle name="Normal 2 52 2 2" xfId="2934"/>
    <cellStyle name="Normal 2 52 3" xfId="2935"/>
    <cellStyle name="Normal 2 53" xfId="812"/>
    <cellStyle name="Normal 2 53 2" xfId="1374"/>
    <cellStyle name="Normal 2 53 2 2" xfId="2936"/>
    <cellStyle name="Normal 2 53 3" xfId="2937"/>
    <cellStyle name="Normal 2 54" xfId="813"/>
    <cellStyle name="Normal 2 54 2" xfId="1375"/>
    <cellStyle name="Normal 2 54 2 2" xfId="2938"/>
    <cellStyle name="Normal 2 54 3" xfId="2939"/>
    <cellStyle name="Normal 2 55" xfId="814"/>
    <cellStyle name="Normal 2 55 2" xfId="1376"/>
    <cellStyle name="Normal 2 55 2 2" xfId="2940"/>
    <cellStyle name="Normal 2 55 3" xfId="2941"/>
    <cellStyle name="Normal 2 56" xfId="815"/>
    <cellStyle name="Normal 2 56 2" xfId="1377"/>
    <cellStyle name="Normal 2 56 2 2" xfId="2942"/>
    <cellStyle name="Normal 2 56 3" xfId="2943"/>
    <cellStyle name="Normal 2 57" xfId="816"/>
    <cellStyle name="Normal 2 57 2" xfId="1378"/>
    <cellStyle name="Normal 2 57 2 2" xfId="2944"/>
    <cellStyle name="Normal 2 57 3" xfId="2945"/>
    <cellStyle name="Normal 2 58" xfId="817"/>
    <cellStyle name="Normal 2 58 2" xfId="1379"/>
    <cellStyle name="Normal 2 58 2 2" xfId="2946"/>
    <cellStyle name="Normal 2 58 3" xfId="2947"/>
    <cellStyle name="Normal 2 59" xfId="818"/>
    <cellStyle name="Normal 2 59 2" xfId="1380"/>
    <cellStyle name="Normal 2 59 2 2" xfId="2948"/>
    <cellStyle name="Normal 2 59 3" xfId="2949"/>
    <cellStyle name="Normal 2 6" xfId="244"/>
    <cellStyle name="Normal 2 6 2" xfId="820"/>
    <cellStyle name="Normal 2 6 3" xfId="821"/>
    <cellStyle name="Normal 2 6 3 2" xfId="822"/>
    <cellStyle name="Normal 2 6 3 3" xfId="1381"/>
    <cellStyle name="Normal 2 6 3 3 2" xfId="2950"/>
    <cellStyle name="Normal 2 6 3 4" xfId="2951"/>
    <cellStyle name="Normal 2 6 4" xfId="819"/>
    <cellStyle name="Normal 2 60" xfId="823"/>
    <cellStyle name="Normal 2 60 2" xfId="1382"/>
    <cellStyle name="Normal 2 60 2 2" xfId="2952"/>
    <cellStyle name="Normal 2 60 3" xfId="2953"/>
    <cellStyle name="Normal 2 61" xfId="824"/>
    <cellStyle name="Normal 2 61 2" xfId="1383"/>
    <cellStyle name="Normal 2 61 2 2" xfId="2954"/>
    <cellStyle name="Normal 2 61 3" xfId="2955"/>
    <cellStyle name="Normal 2 62" xfId="825"/>
    <cellStyle name="Normal 2 62 2" xfId="1384"/>
    <cellStyle name="Normal 2 62 2 2" xfId="2956"/>
    <cellStyle name="Normal 2 62 3" xfId="2957"/>
    <cellStyle name="Normal 2 63" xfId="826"/>
    <cellStyle name="Normal 2 63 2" xfId="1385"/>
    <cellStyle name="Normal 2 63 2 2" xfId="2958"/>
    <cellStyle name="Normal 2 63 3" xfId="2959"/>
    <cellStyle name="Normal 2 64" xfId="827"/>
    <cellStyle name="Normal 2 64 2" xfId="1386"/>
    <cellStyle name="Normal 2 64 2 2" xfId="2960"/>
    <cellStyle name="Normal 2 64 3" xfId="2961"/>
    <cellStyle name="Normal 2 65" xfId="828"/>
    <cellStyle name="Normal 2 65 2" xfId="1387"/>
    <cellStyle name="Normal 2 65 2 2" xfId="2962"/>
    <cellStyle name="Normal 2 65 3" xfId="2963"/>
    <cellStyle name="Normal 2 66" xfId="829"/>
    <cellStyle name="Normal 2 66 2" xfId="1388"/>
    <cellStyle name="Normal 2 66 2 2" xfId="2964"/>
    <cellStyle name="Normal 2 66 3" xfId="2965"/>
    <cellStyle name="Normal 2 67" xfId="830"/>
    <cellStyle name="Normal 2 67 2" xfId="1389"/>
    <cellStyle name="Normal 2 67 2 2" xfId="2966"/>
    <cellStyle name="Normal 2 67 3" xfId="2967"/>
    <cellStyle name="Normal 2 68" xfId="831"/>
    <cellStyle name="Normal 2 68 2" xfId="1390"/>
    <cellStyle name="Normal 2 68 2 2" xfId="2968"/>
    <cellStyle name="Normal 2 68 3" xfId="2969"/>
    <cellStyle name="Normal 2 69" xfId="832"/>
    <cellStyle name="Normal 2 69 2" xfId="1391"/>
    <cellStyle name="Normal 2 69 2 2" xfId="2970"/>
    <cellStyle name="Normal 2 69 3" xfId="2971"/>
    <cellStyle name="Normal 2 7" xfId="245"/>
    <cellStyle name="Normal 2 7 2" xfId="834"/>
    <cellStyle name="Normal 2 7 3" xfId="835"/>
    <cellStyle name="Normal 2 7 3 2" xfId="836"/>
    <cellStyle name="Normal 2 7 3 3" xfId="1392"/>
    <cellStyle name="Normal 2 7 3 3 2" xfId="2972"/>
    <cellStyle name="Normal 2 7 3 4" xfId="2973"/>
    <cellStyle name="Normal 2 7 4" xfId="833"/>
    <cellStyle name="Normal 2 70" xfId="837"/>
    <cellStyle name="Normal 2 70 2" xfId="1393"/>
    <cellStyle name="Normal 2 70 2 2" xfId="2974"/>
    <cellStyle name="Normal 2 70 3" xfId="2975"/>
    <cellStyle name="Normal 2 71" xfId="838"/>
    <cellStyle name="Normal 2 71 2" xfId="1394"/>
    <cellStyle name="Normal 2 71 2 2" xfId="2976"/>
    <cellStyle name="Normal 2 71 3" xfId="2977"/>
    <cellStyle name="Normal 2 72" xfId="839"/>
    <cellStyle name="Normal 2 72 2" xfId="1395"/>
    <cellStyle name="Normal 2 72 2 2" xfId="2978"/>
    <cellStyle name="Normal 2 72 3" xfId="2979"/>
    <cellStyle name="Normal 2 73" xfId="840"/>
    <cellStyle name="Normal 2 73 2" xfId="1396"/>
    <cellStyle name="Normal 2 73 2 2" xfId="2980"/>
    <cellStyle name="Normal 2 73 3" xfId="2981"/>
    <cellStyle name="Normal 2 74" xfId="841"/>
    <cellStyle name="Normal 2 74 2" xfId="1397"/>
    <cellStyle name="Normal 2 74 2 2" xfId="2982"/>
    <cellStyle name="Normal 2 74 3" xfId="2983"/>
    <cellStyle name="Normal 2 75" xfId="842"/>
    <cellStyle name="Normal 2 75 2" xfId="1398"/>
    <cellStyle name="Normal 2 75 2 2" xfId="2984"/>
    <cellStyle name="Normal 2 75 3" xfId="2985"/>
    <cellStyle name="Normal 2 76" xfId="843"/>
    <cellStyle name="Normal 2 76 2" xfId="1399"/>
    <cellStyle name="Normal 2 76 2 2" xfId="2986"/>
    <cellStyle name="Normal 2 76 3" xfId="2987"/>
    <cellStyle name="Normal 2 77" xfId="1145"/>
    <cellStyle name="Normal 2 78" xfId="1221"/>
    <cellStyle name="Normal 2 8" xfId="246"/>
    <cellStyle name="Normal 2 8 2" xfId="845"/>
    <cellStyle name="Normal 2 8 2 2" xfId="1400"/>
    <cellStyle name="Normal 2 8 2 2 2" xfId="2988"/>
    <cellStyle name="Normal 2 8 2 3" xfId="2989"/>
    <cellStyle name="Normal 2 8 3" xfId="846"/>
    <cellStyle name="Normal 2 8 3 2" xfId="1401"/>
    <cellStyle name="Normal 2 8 3 2 2" xfId="2990"/>
    <cellStyle name="Normal 2 8 3 3" xfId="2991"/>
    <cellStyle name="Normal 2 8 4" xfId="847"/>
    <cellStyle name="Normal 2 8 4 2" xfId="1402"/>
    <cellStyle name="Normal 2 8 4 2 2" xfId="2992"/>
    <cellStyle name="Normal 2 8 4 3" xfId="2993"/>
    <cellStyle name="Normal 2 8 5" xfId="844"/>
    <cellStyle name="Normal 2 8 6" xfId="1502"/>
    <cellStyle name="Normal 2 8 6 2" xfId="2994"/>
    <cellStyle name="Normal 2 8 7" xfId="2995"/>
    <cellStyle name="Normal 2 9" xfId="247"/>
    <cellStyle name="Normal 2 9 2" xfId="849"/>
    <cellStyle name="Normal 2 9 2 2" xfId="1403"/>
    <cellStyle name="Normal 2 9 2 2 2" xfId="2997"/>
    <cellStyle name="Normal 2 9 2 3" xfId="2998"/>
    <cellStyle name="Normal 2 9 2 4" xfId="2999"/>
    <cellStyle name="Normal 2 9 2 5" xfId="2996"/>
    <cellStyle name="Normal 2 9 3" xfId="850"/>
    <cellStyle name="Normal 2 9 4" xfId="848"/>
    <cellStyle name="Normal 2_X ESTABLECIMIENTOS" xfId="851"/>
    <cellStyle name="Normal 20" xfId="248"/>
    <cellStyle name="Normal 20 2" xfId="3000"/>
    <cellStyle name="Normal 20 3" xfId="3001"/>
    <cellStyle name="Normal 21" xfId="249"/>
    <cellStyle name="Normal 21 2" xfId="3002"/>
    <cellStyle name="Normal 21 3" xfId="3003"/>
    <cellStyle name="Normal 22" xfId="250"/>
    <cellStyle name="Normal 22 2" xfId="3004"/>
    <cellStyle name="Normal 22 3" xfId="3005"/>
    <cellStyle name="Normal 23" xfId="251"/>
    <cellStyle name="Normal 23 2" xfId="3006"/>
    <cellStyle name="Normal 23 3" xfId="3007"/>
    <cellStyle name="Normal 24" xfId="252"/>
    <cellStyle name="Normal 24 2" xfId="3008"/>
    <cellStyle name="Normal 24 3" xfId="3009"/>
    <cellStyle name="Normal 25" xfId="253"/>
    <cellStyle name="Normal 25 2" xfId="3010"/>
    <cellStyle name="Normal 25 3" xfId="3011"/>
    <cellStyle name="Normal 26" xfId="254"/>
    <cellStyle name="Normal 26 2" xfId="3012"/>
    <cellStyle name="Normal 26 3" xfId="3013"/>
    <cellStyle name="Normal 27" xfId="255"/>
    <cellStyle name="Normal 27 2" xfId="3014"/>
    <cellStyle name="Normal 27 3" xfId="3015"/>
    <cellStyle name="Normal 28" xfId="256"/>
    <cellStyle name="Normal 28 2" xfId="3016"/>
    <cellStyle name="Normal 28 3" xfId="3017"/>
    <cellStyle name="Normal 29" xfId="257"/>
    <cellStyle name="Normal 29 2" xfId="3018"/>
    <cellStyle name="Normal 29 3" xfId="3019"/>
    <cellStyle name="Normal 3" xfId="258"/>
    <cellStyle name="Normal 3 10" xfId="852"/>
    <cellStyle name="Normal 3 11" xfId="853"/>
    <cellStyle name="Normal 3 12" xfId="854"/>
    <cellStyle name="Normal 3 13" xfId="855"/>
    <cellStyle name="Normal 3 14" xfId="856"/>
    <cellStyle name="Normal 3 15" xfId="857"/>
    <cellStyle name="Normal 3 16" xfId="858"/>
    <cellStyle name="Normal 3 17" xfId="859"/>
    <cellStyle name="Normal 3 18" xfId="860"/>
    <cellStyle name="Normal 3 19" xfId="861"/>
    <cellStyle name="Normal 3 2" xfId="259"/>
    <cellStyle name="Normal 3 2 2" xfId="862"/>
    <cellStyle name="Normal 3 2 2 2" xfId="1404"/>
    <cellStyle name="Normal 3 2 3" xfId="1557"/>
    <cellStyle name="Normal 3 20" xfId="863"/>
    <cellStyle name="Normal 3 21" xfId="864"/>
    <cellStyle name="Normal 3 22" xfId="865"/>
    <cellStyle name="Normal 3 23" xfId="866"/>
    <cellStyle name="Normal 3 24" xfId="867"/>
    <cellStyle name="Normal 3 25" xfId="868"/>
    <cellStyle name="Normal 3 26" xfId="869"/>
    <cellStyle name="Normal 3 27" xfId="870"/>
    <cellStyle name="Normal 3 28" xfId="871"/>
    <cellStyle name="Normal 3 29" xfId="872"/>
    <cellStyle name="Normal 3 3" xfId="260"/>
    <cellStyle name="Normal 3 3 2" xfId="874"/>
    <cellStyle name="Normal 3 3 2 2" xfId="1616"/>
    <cellStyle name="Normal 3 3 2 2 2" xfId="3020"/>
    <cellStyle name="Normal 3 3 3" xfId="873"/>
    <cellStyle name="Normal 3 3 4" xfId="1558"/>
    <cellStyle name="Normal 3 3 5" xfId="3021"/>
    <cellStyle name="Normal 3 3 6" xfId="3022"/>
    <cellStyle name="Normal 3 3 7" xfId="3023"/>
    <cellStyle name="Normal 3 30" xfId="875"/>
    <cellStyle name="Normal 3 31" xfId="876"/>
    <cellStyle name="Normal 3 32" xfId="877"/>
    <cellStyle name="Normal 3 33" xfId="878"/>
    <cellStyle name="Normal 3 34" xfId="879"/>
    <cellStyle name="Normal 3 35" xfId="880"/>
    <cellStyle name="Normal 3 36" xfId="881"/>
    <cellStyle name="Normal 3 37" xfId="882"/>
    <cellStyle name="Normal 3 38" xfId="883"/>
    <cellStyle name="Normal 3 39" xfId="884"/>
    <cellStyle name="Normal 3 4" xfId="261"/>
    <cellStyle name="Normal 3 4 2" xfId="885"/>
    <cellStyle name="Normal 3 4 2 2" xfId="1617"/>
    <cellStyle name="Normal 3 4 2 2 2" xfId="3024"/>
    <cellStyle name="Normal 3 4 3" xfId="3025"/>
    <cellStyle name="Normal 3 40" xfId="886"/>
    <cellStyle name="Normal 3 41" xfId="887"/>
    <cellStyle name="Normal 3 42" xfId="1405"/>
    <cellStyle name="Normal 3 42 2" xfId="3026"/>
    <cellStyle name="Normal 3 5" xfId="394"/>
    <cellStyle name="Normal 3 5 2" xfId="888"/>
    <cellStyle name="Normal 3 6" xfId="889"/>
    <cellStyle name="Normal 3 7" xfId="890"/>
    <cellStyle name="Normal 3 8" xfId="891"/>
    <cellStyle name="Normal 3 9" xfId="892"/>
    <cellStyle name="Normal 30" xfId="262"/>
    <cellStyle name="Normal 30 2" xfId="3027"/>
    <cellStyle name="Normal 30 3" xfId="3028"/>
    <cellStyle name="Normal 31" xfId="263"/>
    <cellStyle name="Normal 31 2" xfId="3029"/>
    <cellStyle name="Normal 31 3" xfId="3030"/>
    <cellStyle name="Normal 32" xfId="264"/>
    <cellStyle name="Normal 32 2" xfId="3031"/>
    <cellStyle name="Normal 32 3" xfId="3032"/>
    <cellStyle name="Normal 33" xfId="265"/>
    <cellStyle name="Normal 33 2" xfId="3033"/>
    <cellStyle name="Normal 33 3" xfId="3034"/>
    <cellStyle name="Normal 34" xfId="266"/>
    <cellStyle name="Normal 34 2" xfId="3035"/>
    <cellStyle name="Normal 34 3" xfId="3036"/>
    <cellStyle name="Normal 35" xfId="267"/>
    <cellStyle name="Normal 35 2" xfId="3037"/>
    <cellStyle name="Normal 35 3" xfId="3038"/>
    <cellStyle name="Normal 36" xfId="268"/>
    <cellStyle name="Normal 36 2" xfId="3039"/>
    <cellStyle name="Normal 36 3" xfId="3040"/>
    <cellStyle name="Normal 37" xfId="269"/>
    <cellStyle name="Normal 37 2" xfId="3041"/>
    <cellStyle name="Normal 37 3" xfId="3042"/>
    <cellStyle name="Normal 38" xfId="270"/>
    <cellStyle name="Normal 38 2" xfId="3043"/>
    <cellStyle name="Normal 38 3" xfId="3044"/>
    <cellStyle name="Normal 39" xfId="271"/>
    <cellStyle name="Normal 39 2" xfId="3045"/>
    <cellStyle name="Normal 39 3" xfId="3046"/>
    <cellStyle name="Normal 4" xfId="272"/>
    <cellStyle name="Normal 4 10" xfId="893"/>
    <cellStyle name="Normal 4 11" xfId="894"/>
    <cellStyle name="Normal 4 12" xfId="895"/>
    <cellStyle name="Normal 4 13" xfId="896"/>
    <cellStyle name="Normal 4 14" xfId="897"/>
    <cellStyle name="Normal 4 15" xfId="898"/>
    <cellStyle name="Normal 4 16" xfId="899"/>
    <cellStyle name="Normal 4 17" xfId="900"/>
    <cellStyle name="Normal 4 18" xfId="901"/>
    <cellStyle name="Normal 4 19" xfId="902"/>
    <cellStyle name="Normal 4 2" xfId="273"/>
    <cellStyle name="Normal 4 2 2" xfId="903"/>
    <cellStyle name="Normal 4 2 2 2" xfId="1406"/>
    <cellStyle name="Normal 4 2 3" xfId="1559"/>
    <cellStyle name="Normal 4 20" xfId="904"/>
    <cellStyle name="Normal 4 21" xfId="905"/>
    <cellStyle name="Normal 4 22" xfId="906"/>
    <cellStyle name="Normal 4 23" xfId="907"/>
    <cellStyle name="Normal 4 24" xfId="908"/>
    <cellStyle name="Normal 4 25" xfId="909"/>
    <cellStyle name="Normal 4 26" xfId="910"/>
    <cellStyle name="Normal 4 27" xfId="911"/>
    <cellStyle name="Normal 4 28" xfId="912"/>
    <cellStyle name="Normal 4 29" xfId="913"/>
    <cellStyle name="Normal 4 3" xfId="274"/>
    <cellStyle name="Normal 4 3 2" xfId="1407"/>
    <cellStyle name="Normal 4 30" xfId="914"/>
    <cellStyle name="Normal 4 31" xfId="915"/>
    <cellStyle name="Normal 4 32" xfId="916"/>
    <cellStyle name="Normal 4 33" xfId="917"/>
    <cellStyle name="Normal 4 34" xfId="918"/>
    <cellStyle name="Normal 4 35" xfId="919"/>
    <cellStyle name="Normal 4 36" xfId="920"/>
    <cellStyle name="Normal 4 37" xfId="921"/>
    <cellStyle name="Normal 4 38" xfId="922"/>
    <cellStyle name="Normal 4 39" xfId="923"/>
    <cellStyle name="Normal 4 4" xfId="924"/>
    <cellStyle name="Normal 4 4 2" xfId="1408"/>
    <cellStyle name="Normal 4 4 3" xfId="1618"/>
    <cellStyle name="Normal 4 4 3 2" xfId="3047"/>
    <cellStyle name="Normal 4 40" xfId="925"/>
    <cellStyle name="Normal 4 41" xfId="926"/>
    <cellStyle name="Normal 4 5" xfId="927"/>
    <cellStyle name="Normal 4 6" xfId="928"/>
    <cellStyle name="Normal 4 7" xfId="929"/>
    <cellStyle name="Normal 4 8" xfId="930"/>
    <cellStyle name="Normal 4 9" xfId="931"/>
    <cellStyle name="Normal 40" xfId="275"/>
    <cellStyle name="Normal 40 2" xfId="3048"/>
    <cellStyle name="Normal 40 3" xfId="3049"/>
    <cellStyle name="Normal 41" xfId="276"/>
    <cellStyle name="Normal 41 2" xfId="3050"/>
    <cellStyle name="Normal 41 3" xfId="3051"/>
    <cellStyle name="Normal 42" xfId="277"/>
    <cellStyle name="Normal 42 2" xfId="3052"/>
    <cellStyle name="Normal 42 3" xfId="3053"/>
    <cellStyle name="Normal 43" xfId="278"/>
    <cellStyle name="Normal 43 2" xfId="3054"/>
    <cellStyle name="Normal 43 3" xfId="3055"/>
    <cellStyle name="Normal 44" xfId="279"/>
    <cellStyle name="Normal 44 2" xfId="3056"/>
    <cellStyle name="Normal 44 3" xfId="3057"/>
    <cellStyle name="Normal 45" xfId="280"/>
    <cellStyle name="Normal 45 2" xfId="3058"/>
    <cellStyle name="Normal 45 3" xfId="3059"/>
    <cellStyle name="Normal 46" xfId="281"/>
    <cellStyle name="Normal 46 2" xfId="3060"/>
    <cellStyle name="Normal 46 3" xfId="3061"/>
    <cellStyle name="Normal 47" xfId="282"/>
    <cellStyle name="Normal 47 2" xfId="3062"/>
    <cellStyle name="Normal 47 3" xfId="3063"/>
    <cellStyle name="Normal 48" xfId="283"/>
    <cellStyle name="Normal 48 2" xfId="284"/>
    <cellStyle name="Normal 48 3" xfId="3064"/>
    <cellStyle name="Normal 49" xfId="285"/>
    <cellStyle name="Normal 49 2" xfId="3065"/>
    <cellStyle name="Normal 49 3" xfId="3066"/>
    <cellStyle name="Normal 5" xfId="286"/>
    <cellStyle name="Normal 5 10" xfId="932"/>
    <cellStyle name="Normal 5 11" xfId="933"/>
    <cellStyle name="Normal 5 12" xfId="934"/>
    <cellStyle name="Normal 5 13" xfId="935"/>
    <cellStyle name="Normal 5 14" xfId="936"/>
    <cellStyle name="Normal 5 15" xfId="937"/>
    <cellStyle name="Normal 5 16" xfId="938"/>
    <cellStyle name="Normal 5 17" xfId="939"/>
    <cellStyle name="Normal 5 18" xfId="940"/>
    <cellStyle name="Normal 5 19" xfId="941"/>
    <cellStyle name="Normal 5 2" xfId="942"/>
    <cellStyle name="Normal 5 2 2" xfId="1619"/>
    <cellStyle name="Normal 5 2 2 2" xfId="3067"/>
    <cellStyle name="Normal 5 20" xfId="943"/>
    <cellStyle name="Normal 5 21" xfId="944"/>
    <cellStyle name="Normal 5 22" xfId="945"/>
    <cellStyle name="Normal 5 23" xfId="946"/>
    <cellStyle name="Normal 5 24" xfId="947"/>
    <cellStyle name="Normal 5 25" xfId="948"/>
    <cellStyle name="Normal 5 26" xfId="949"/>
    <cellStyle name="Normal 5 27" xfId="950"/>
    <cellStyle name="Normal 5 28" xfId="951"/>
    <cellStyle name="Normal 5 29" xfId="952"/>
    <cellStyle name="Normal 5 3" xfId="953"/>
    <cellStyle name="Normal 5 3 2" xfId="954"/>
    <cellStyle name="Normal 5 30" xfId="955"/>
    <cellStyle name="Normal 5 31" xfId="956"/>
    <cellStyle name="Normal 5 32" xfId="957"/>
    <cellStyle name="Normal 5 33" xfId="958"/>
    <cellStyle name="Normal 5 34" xfId="959"/>
    <cellStyle name="Normal 5 35" xfId="960"/>
    <cellStyle name="Normal 5 36" xfId="961"/>
    <cellStyle name="Normal 5 37" xfId="962"/>
    <cellStyle name="Normal 5 38" xfId="963"/>
    <cellStyle name="Normal 5 39" xfId="964"/>
    <cellStyle name="Normal 5 4" xfId="965"/>
    <cellStyle name="Normal 5 40" xfId="966"/>
    <cellStyle name="Normal 5 41" xfId="967"/>
    <cellStyle name="Normal 5 42" xfId="1560"/>
    <cellStyle name="Normal 5 43" xfId="3068"/>
    <cellStyle name="Normal 5 5" xfId="968"/>
    <cellStyle name="Normal 5 6" xfId="969"/>
    <cellStyle name="Normal 5 7" xfId="970"/>
    <cellStyle name="Normal 5 8" xfId="971"/>
    <cellStyle name="Normal 5 9" xfId="972"/>
    <cellStyle name="Normal 5_X ESTABLECIMIENTOS" xfId="973"/>
    <cellStyle name="Normal 50" xfId="287"/>
    <cellStyle name="Normal 50 2" xfId="3069"/>
    <cellStyle name="Normal 50 3" xfId="3070"/>
    <cellStyle name="Normal 51" xfId="288"/>
    <cellStyle name="Normal 51 2" xfId="3071"/>
    <cellStyle name="Normal 51 3" xfId="3072"/>
    <cellStyle name="Normal 52" xfId="289"/>
    <cellStyle name="Normal 52 2" xfId="290"/>
    <cellStyle name="Normal 52 3" xfId="3073"/>
    <cellStyle name="Normal 53" xfId="291"/>
    <cellStyle name="Normal 53 2" xfId="3074"/>
    <cellStyle name="Normal 53 3" xfId="3075"/>
    <cellStyle name="Normal 54" xfId="292"/>
    <cellStyle name="Normal 54 2" xfId="3076"/>
    <cellStyle name="Normal 54 3" xfId="3077"/>
    <cellStyle name="Normal 55" xfId="293"/>
    <cellStyle name="Normal 55 2" xfId="3078"/>
    <cellStyle name="Normal 55 3" xfId="3079"/>
    <cellStyle name="Normal 56" xfId="294"/>
    <cellStyle name="Normal 56 2" xfId="3080"/>
    <cellStyle name="Normal 56 3" xfId="3081"/>
    <cellStyle name="Normal 57" xfId="295"/>
    <cellStyle name="Normal 57 2" xfId="3082"/>
    <cellStyle name="Normal 57 3" xfId="3083"/>
    <cellStyle name="Normal 58" xfId="296"/>
    <cellStyle name="Normal 58 2" xfId="3084"/>
    <cellStyle name="Normal 58 3" xfId="3085"/>
    <cellStyle name="Normal 59" xfId="297"/>
    <cellStyle name="Normal 59 2" xfId="3086"/>
    <cellStyle name="Normal 59 3" xfId="3087"/>
    <cellStyle name="Normal 6" xfId="298"/>
    <cellStyle name="Normal 6 10" xfId="974"/>
    <cellStyle name="Normal 6 10 2" xfId="1409"/>
    <cellStyle name="Normal 6 10 2 2" xfId="3088"/>
    <cellStyle name="Normal 6 10 3" xfId="3089"/>
    <cellStyle name="Normal 6 11" xfId="975"/>
    <cellStyle name="Normal 6 11 2" xfId="1410"/>
    <cellStyle name="Normal 6 11 2 2" xfId="3090"/>
    <cellStyle name="Normal 6 11 3" xfId="3091"/>
    <cellStyle name="Normal 6 12" xfId="976"/>
    <cellStyle name="Normal 6 12 2" xfId="1411"/>
    <cellStyle name="Normal 6 12 2 2" xfId="3092"/>
    <cellStyle name="Normal 6 12 3" xfId="3093"/>
    <cellStyle name="Normal 6 13" xfId="977"/>
    <cellStyle name="Normal 6 13 2" xfId="1412"/>
    <cellStyle name="Normal 6 13 2 2" xfId="3094"/>
    <cellStyle name="Normal 6 13 3" xfId="3095"/>
    <cellStyle name="Normal 6 14" xfId="978"/>
    <cellStyle name="Normal 6 14 2" xfId="1413"/>
    <cellStyle name="Normal 6 14 2 2" xfId="3096"/>
    <cellStyle name="Normal 6 14 3" xfId="3097"/>
    <cellStyle name="Normal 6 15" xfId="979"/>
    <cellStyle name="Normal 6 15 2" xfId="1414"/>
    <cellStyle name="Normal 6 15 2 2" xfId="3098"/>
    <cellStyle name="Normal 6 15 3" xfId="3099"/>
    <cellStyle name="Normal 6 16" xfId="980"/>
    <cellStyle name="Normal 6 16 2" xfId="1415"/>
    <cellStyle name="Normal 6 16 2 2" xfId="3100"/>
    <cellStyle name="Normal 6 16 3" xfId="3101"/>
    <cellStyle name="Normal 6 17" xfId="981"/>
    <cellStyle name="Normal 6 17 2" xfId="1416"/>
    <cellStyle name="Normal 6 17 2 2" xfId="3102"/>
    <cellStyle name="Normal 6 17 3" xfId="3103"/>
    <cellStyle name="Normal 6 18" xfId="982"/>
    <cellStyle name="Normal 6 18 2" xfId="1417"/>
    <cellStyle name="Normal 6 18 2 2" xfId="3104"/>
    <cellStyle name="Normal 6 18 3" xfId="3105"/>
    <cellStyle name="Normal 6 19" xfId="983"/>
    <cellStyle name="Normal 6 19 2" xfId="1418"/>
    <cellStyle name="Normal 6 19 2 2" xfId="3106"/>
    <cellStyle name="Normal 6 19 3" xfId="3107"/>
    <cellStyle name="Normal 6 2" xfId="984"/>
    <cellStyle name="Normal 6 2 2" xfId="985"/>
    <cellStyle name="Normal 6 2 2 2" xfId="986"/>
    <cellStyle name="Normal 6 2 2 2 2" xfId="1421"/>
    <cellStyle name="Normal 6 2 2 2 2 2" xfId="3108"/>
    <cellStyle name="Normal 6 2 2 2 3" xfId="3109"/>
    <cellStyle name="Normal 6 2 2 3" xfId="987"/>
    <cellStyle name="Normal 6 2 2 3 2" xfId="1422"/>
    <cellStyle name="Normal 6 2 2 3 2 2" xfId="3110"/>
    <cellStyle name="Normal 6 2 2 3 3" xfId="3111"/>
    <cellStyle name="Normal 6 2 2 4" xfId="988"/>
    <cellStyle name="Normal 6 2 2 5" xfId="1420"/>
    <cellStyle name="Normal 6 2 2 5 2" xfId="3112"/>
    <cellStyle name="Normal 6 2 2 6" xfId="3113"/>
    <cellStyle name="Normal 6 2 3" xfId="989"/>
    <cellStyle name="Normal 6 2 3 2" xfId="990"/>
    <cellStyle name="Normal 6 2 3 3" xfId="1423"/>
    <cellStyle name="Normal 6 2 3 3 2" xfId="3114"/>
    <cellStyle name="Normal 6 2 3 4" xfId="3115"/>
    <cellStyle name="Normal 6 2 4" xfId="991"/>
    <cellStyle name="Normal 6 2 4 2" xfId="1424"/>
    <cellStyle name="Normal 6 2 4 2 2" xfId="3116"/>
    <cellStyle name="Normal 6 2 4 3" xfId="3117"/>
    <cellStyle name="Normal 6 2 5" xfId="992"/>
    <cellStyle name="Normal 6 2 5 2" xfId="1425"/>
    <cellStyle name="Normal 6 2 5 2 2" xfId="3118"/>
    <cellStyle name="Normal 6 2 5 3" xfId="3119"/>
    <cellStyle name="Normal 6 2 6" xfId="993"/>
    <cellStyle name="Normal 6 2 6 2" xfId="1426"/>
    <cellStyle name="Normal 6 2 6 2 2" xfId="3120"/>
    <cellStyle name="Normal 6 2 6 3" xfId="3121"/>
    <cellStyle name="Normal 6 2 7" xfId="1419"/>
    <cellStyle name="Normal 6 2 7 2" xfId="3122"/>
    <cellStyle name="Normal 6 2 8" xfId="3123"/>
    <cellStyle name="Normal 6 2 9" xfId="3124"/>
    <cellStyle name="Normal 6 20" xfId="994"/>
    <cellStyle name="Normal 6 20 2" xfId="1427"/>
    <cellStyle name="Normal 6 20 2 2" xfId="3125"/>
    <cellStyle name="Normal 6 20 3" xfId="3126"/>
    <cellStyle name="Normal 6 21" xfId="995"/>
    <cellStyle name="Normal 6 21 2" xfId="1428"/>
    <cellStyle name="Normal 6 21 2 2" xfId="3127"/>
    <cellStyle name="Normal 6 21 3" xfId="3128"/>
    <cellStyle name="Normal 6 22" xfId="996"/>
    <cellStyle name="Normal 6 22 2" xfId="1429"/>
    <cellStyle name="Normal 6 22 2 2" xfId="3129"/>
    <cellStyle name="Normal 6 22 3" xfId="3130"/>
    <cellStyle name="Normal 6 23" xfId="997"/>
    <cellStyle name="Normal 6 23 2" xfId="1430"/>
    <cellStyle name="Normal 6 23 2 2" xfId="3131"/>
    <cellStyle name="Normal 6 23 3" xfId="3132"/>
    <cellStyle name="Normal 6 24" xfId="998"/>
    <cellStyle name="Normal 6 24 2" xfId="1431"/>
    <cellStyle name="Normal 6 24 2 2" xfId="3133"/>
    <cellStyle name="Normal 6 24 3" xfId="3134"/>
    <cellStyle name="Normal 6 25" xfId="999"/>
    <cellStyle name="Normal 6 25 2" xfId="1432"/>
    <cellStyle name="Normal 6 25 2 2" xfId="3135"/>
    <cellStyle name="Normal 6 25 3" xfId="3136"/>
    <cellStyle name="Normal 6 26" xfId="1000"/>
    <cellStyle name="Normal 6 26 2" xfId="1433"/>
    <cellStyle name="Normal 6 26 2 2" xfId="3137"/>
    <cellStyle name="Normal 6 26 3" xfId="3138"/>
    <cellStyle name="Normal 6 27" xfId="1001"/>
    <cellStyle name="Normal 6 27 2" xfId="1434"/>
    <cellStyle name="Normal 6 27 2 2" xfId="3139"/>
    <cellStyle name="Normal 6 27 3" xfId="3140"/>
    <cellStyle name="Normal 6 28" xfId="1002"/>
    <cellStyle name="Normal 6 28 2" xfId="1435"/>
    <cellStyle name="Normal 6 28 2 2" xfId="3141"/>
    <cellStyle name="Normal 6 28 3" xfId="3142"/>
    <cellStyle name="Normal 6 29" xfId="1003"/>
    <cellStyle name="Normal 6 29 2" xfId="1436"/>
    <cellStyle name="Normal 6 29 2 2" xfId="3143"/>
    <cellStyle name="Normal 6 29 3" xfId="3144"/>
    <cellStyle name="Normal 6 3" xfId="1004"/>
    <cellStyle name="Normal 6 3 2" xfId="1005"/>
    <cellStyle name="Normal 6 3 2 2" xfId="1438"/>
    <cellStyle name="Normal 6 3 2 2 2" xfId="3145"/>
    <cellStyle name="Normal 6 3 2 3" xfId="3146"/>
    <cellStyle name="Normal 6 3 3" xfId="1006"/>
    <cellStyle name="Normal 6 3 3 2" xfId="1439"/>
    <cellStyle name="Normal 6 3 3 2 2" xfId="3147"/>
    <cellStyle name="Normal 6 3 3 3" xfId="3148"/>
    <cellStyle name="Normal 6 3 4" xfId="1007"/>
    <cellStyle name="Normal 6 3 4 2" xfId="1440"/>
    <cellStyle name="Normal 6 3 4 2 2" xfId="3149"/>
    <cellStyle name="Normal 6 3 4 3" xfId="3150"/>
    <cellStyle name="Normal 6 3 5" xfId="1008"/>
    <cellStyle name="Normal 6 3 6" xfId="1437"/>
    <cellStyle name="Normal 6 3 6 2" xfId="3151"/>
    <cellStyle name="Normal 6 3 7" xfId="3152"/>
    <cellStyle name="Normal 6 30" xfId="1009"/>
    <cellStyle name="Normal 6 30 2" xfId="1441"/>
    <cellStyle name="Normal 6 30 2 2" xfId="3153"/>
    <cellStyle name="Normal 6 30 3" xfId="3154"/>
    <cellStyle name="Normal 6 31" xfId="1010"/>
    <cellStyle name="Normal 6 31 2" xfId="1442"/>
    <cellStyle name="Normal 6 31 2 2" xfId="3155"/>
    <cellStyle name="Normal 6 31 3" xfId="3156"/>
    <cellStyle name="Normal 6 32" xfId="1011"/>
    <cellStyle name="Normal 6 32 2" xfId="1443"/>
    <cellStyle name="Normal 6 32 2 2" xfId="3157"/>
    <cellStyle name="Normal 6 32 3" xfId="3158"/>
    <cellStyle name="Normal 6 33" xfId="1012"/>
    <cellStyle name="Normal 6 33 2" xfId="1444"/>
    <cellStyle name="Normal 6 33 2 2" xfId="3159"/>
    <cellStyle name="Normal 6 33 3" xfId="3160"/>
    <cellStyle name="Normal 6 34" xfId="1013"/>
    <cellStyle name="Normal 6 34 2" xfId="1445"/>
    <cellStyle name="Normal 6 34 2 2" xfId="3161"/>
    <cellStyle name="Normal 6 34 3" xfId="3162"/>
    <cellStyle name="Normal 6 35" xfId="1014"/>
    <cellStyle name="Normal 6 35 2" xfId="1446"/>
    <cellStyle name="Normal 6 35 2 2" xfId="3163"/>
    <cellStyle name="Normal 6 35 3" xfId="3164"/>
    <cellStyle name="Normal 6 36" xfId="1015"/>
    <cellStyle name="Normal 6 36 2" xfId="1447"/>
    <cellStyle name="Normal 6 36 2 2" xfId="3165"/>
    <cellStyle name="Normal 6 36 3" xfId="3166"/>
    <cellStyle name="Normal 6 37" xfId="1016"/>
    <cellStyle name="Normal 6 37 2" xfId="1448"/>
    <cellStyle name="Normal 6 37 2 2" xfId="3167"/>
    <cellStyle name="Normal 6 37 3" xfId="3168"/>
    <cellStyle name="Normal 6 38" xfId="1017"/>
    <cellStyle name="Normal 6 38 2" xfId="1449"/>
    <cellStyle name="Normal 6 38 2 2" xfId="3169"/>
    <cellStyle name="Normal 6 38 3" xfId="3170"/>
    <cellStyle name="Normal 6 39" xfId="1018"/>
    <cellStyle name="Normal 6 39 2" xfId="1450"/>
    <cellStyle name="Normal 6 39 2 2" xfId="3171"/>
    <cellStyle name="Normal 6 39 3" xfId="3172"/>
    <cellStyle name="Normal 6 4" xfId="1019"/>
    <cellStyle name="Normal 6 4 2" xfId="1020"/>
    <cellStyle name="Normal 6 4 2 2" xfId="1451"/>
    <cellStyle name="Normal 6 4 2 2 2" xfId="3173"/>
    <cellStyle name="Normal 6 4 2 3" xfId="3174"/>
    <cellStyle name="Normal 6 4 3" xfId="1021"/>
    <cellStyle name="Normal 6 40" xfId="1022"/>
    <cellStyle name="Normal 6 40 2" xfId="1452"/>
    <cellStyle name="Normal 6 40 2 2" xfId="3175"/>
    <cellStyle name="Normal 6 40 3" xfId="3176"/>
    <cellStyle name="Normal 6 41" xfId="1023"/>
    <cellStyle name="Normal 6 41 2" xfId="1453"/>
    <cellStyle name="Normal 6 41 2 2" xfId="3177"/>
    <cellStyle name="Normal 6 41 3" xfId="3178"/>
    <cellStyle name="Normal 6 42" xfId="1024"/>
    <cellStyle name="Normal 6 42 2" xfId="1454"/>
    <cellStyle name="Normal 6 42 2 2" xfId="3179"/>
    <cellStyle name="Normal 6 42 3" xfId="3180"/>
    <cellStyle name="Normal 6 43" xfId="1025"/>
    <cellStyle name="Normal 6 43 2" xfId="1455"/>
    <cellStyle name="Normal 6 43 2 2" xfId="3181"/>
    <cellStyle name="Normal 6 43 3" xfId="3182"/>
    <cellStyle name="Normal 6 44" xfId="1026"/>
    <cellStyle name="Normal 6 44 2" xfId="1456"/>
    <cellStyle name="Normal 6 44 2 2" xfId="3183"/>
    <cellStyle name="Normal 6 44 3" xfId="3184"/>
    <cellStyle name="Normal 6 45" xfId="1027"/>
    <cellStyle name="Normal 6 45 2" xfId="1457"/>
    <cellStyle name="Normal 6 45 2 2" xfId="3185"/>
    <cellStyle name="Normal 6 45 3" xfId="3186"/>
    <cellStyle name="Normal 6 46" xfId="1028"/>
    <cellStyle name="Normal 6 46 2" xfId="1458"/>
    <cellStyle name="Normal 6 46 2 2" xfId="3187"/>
    <cellStyle name="Normal 6 46 3" xfId="3188"/>
    <cellStyle name="Normal 6 47" xfId="1029"/>
    <cellStyle name="Normal 6 47 2" xfId="1459"/>
    <cellStyle name="Normal 6 47 2 2" xfId="3189"/>
    <cellStyle name="Normal 6 47 3" xfId="3190"/>
    <cellStyle name="Normal 6 48" xfId="1030"/>
    <cellStyle name="Normal 6 48 2" xfId="1460"/>
    <cellStyle name="Normal 6 48 2 2" xfId="3191"/>
    <cellStyle name="Normal 6 48 3" xfId="3192"/>
    <cellStyle name="Normal 6 49" xfId="1031"/>
    <cellStyle name="Normal 6 49 2" xfId="1461"/>
    <cellStyle name="Normal 6 49 2 2" xfId="3193"/>
    <cellStyle name="Normal 6 49 3" xfId="3194"/>
    <cellStyle name="Normal 6 5" xfId="1032"/>
    <cellStyle name="Normal 6 5 2" xfId="1462"/>
    <cellStyle name="Normal 6 5 2 2" xfId="3195"/>
    <cellStyle name="Normal 6 5 3" xfId="3196"/>
    <cellStyle name="Normal 6 50" xfId="1033"/>
    <cellStyle name="Normal 6 50 2" xfId="1463"/>
    <cellStyle name="Normal 6 50 2 2" xfId="3197"/>
    <cellStyle name="Normal 6 50 3" xfId="3198"/>
    <cellStyle name="Normal 6 51" xfId="1034"/>
    <cellStyle name="Normal 6 51 2" xfId="1464"/>
    <cellStyle name="Normal 6 51 2 2" xfId="3199"/>
    <cellStyle name="Normal 6 51 3" xfId="3200"/>
    <cellStyle name="Normal 6 52" xfId="1035"/>
    <cellStyle name="Normal 6 52 2" xfId="1465"/>
    <cellStyle name="Normal 6 52 2 2" xfId="3201"/>
    <cellStyle name="Normal 6 52 3" xfId="3202"/>
    <cellStyle name="Normal 6 53" xfId="1036"/>
    <cellStyle name="Normal 6 53 2" xfId="1466"/>
    <cellStyle name="Normal 6 53 2 2" xfId="3203"/>
    <cellStyle name="Normal 6 53 3" xfId="3204"/>
    <cellStyle name="Normal 6 54" xfId="1037"/>
    <cellStyle name="Normal 6 54 2" xfId="1467"/>
    <cellStyle name="Normal 6 54 2 2" xfId="3205"/>
    <cellStyle name="Normal 6 54 3" xfId="3206"/>
    <cellStyle name="Normal 6 55" xfId="1038"/>
    <cellStyle name="Normal 6 55 2" xfId="1468"/>
    <cellStyle name="Normal 6 55 2 2" xfId="3207"/>
    <cellStyle name="Normal 6 55 3" xfId="3208"/>
    <cellStyle name="Normal 6 56" xfId="1039"/>
    <cellStyle name="Normal 6 56 2" xfId="1469"/>
    <cellStyle name="Normal 6 56 2 2" xfId="3209"/>
    <cellStyle name="Normal 6 56 3" xfId="3210"/>
    <cellStyle name="Normal 6 57" xfId="1040"/>
    <cellStyle name="Normal 6 57 2" xfId="1470"/>
    <cellStyle name="Normal 6 57 2 2" xfId="3211"/>
    <cellStyle name="Normal 6 57 3" xfId="3212"/>
    <cellStyle name="Normal 6 58" xfId="1041"/>
    <cellStyle name="Normal 6 58 2" xfId="1471"/>
    <cellStyle name="Normal 6 58 2 2" xfId="3213"/>
    <cellStyle name="Normal 6 58 3" xfId="3214"/>
    <cellStyle name="Normal 6 59" xfId="1042"/>
    <cellStyle name="Normal 6 59 2" xfId="1472"/>
    <cellStyle name="Normal 6 59 2 2" xfId="3215"/>
    <cellStyle name="Normal 6 59 3" xfId="3216"/>
    <cellStyle name="Normal 6 6" xfId="1043"/>
    <cellStyle name="Normal 6 6 2" xfId="1473"/>
    <cellStyle name="Normal 6 6 2 2" xfId="3217"/>
    <cellStyle name="Normal 6 6 3" xfId="3218"/>
    <cellStyle name="Normal 6 60" xfId="1044"/>
    <cellStyle name="Normal 6 60 2" xfId="1474"/>
    <cellStyle name="Normal 6 60 2 2" xfId="3219"/>
    <cellStyle name="Normal 6 60 3" xfId="3220"/>
    <cellStyle name="Normal 6 61" xfId="1045"/>
    <cellStyle name="Normal 6 61 2" xfId="1475"/>
    <cellStyle name="Normal 6 61 2 2" xfId="3221"/>
    <cellStyle name="Normal 6 61 3" xfId="3222"/>
    <cellStyle name="Normal 6 62" xfId="1046"/>
    <cellStyle name="Normal 6 62 2" xfId="1476"/>
    <cellStyle name="Normal 6 62 2 2" xfId="3223"/>
    <cellStyle name="Normal 6 62 3" xfId="3224"/>
    <cellStyle name="Normal 6 63" xfId="1047"/>
    <cellStyle name="Normal 6 63 2" xfId="1477"/>
    <cellStyle name="Normal 6 63 2 2" xfId="3225"/>
    <cellStyle name="Normal 6 63 3" xfId="3226"/>
    <cellStyle name="Normal 6 64" xfId="1048"/>
    <cellStyle name="Normal 6 64 2" xfId="1478"/>
    <cellStyle name="Normal 6 64 2 2" xfId="3227"/>
    <cellStyle name="Normal 6 64 3" xfId="3228"/>
    <cellStyle name="Normal 6 65" xfId="1049"/>
    <cellStyle name="Normal 6 65 2" xfId="1479"/>
    <cellStyle name="Normal 6 65 2 2" xfId="3229"/>
    <cellStyle name="Normal 6 65 3" xfId="3230"/>
    <cellStyle name="Normal 6 66" xfId="1050"/>
    <cellStyle name="Normal 6 66 2" xfId="1480"/>
    <cellStyle name="Normal 6 66 2 2" xfId="3231"/>
    <cellStyle name="Normal 6 66 3" xfId="3232"/>
    <cellStyle name="Normal 6 67" xfId="1051"/>
    <cellStyle name="Normal 6 67 2" xfId="1481"/>
    <cellStyle name="Normal 6 67 2 2" xfId="3233"/>
    <cellStyle name="Normal 6 67 3" xfId="3234"/>
    <cellStyle name="Normal 6 68" xfId="1052"/>
    <cellStyle name="Normal 6 68 2" xfId="1482"/>
    <cellStyle name="Normal 6 68 2 2" xfId="3235"/>
    <cellStyle name="Normal 6 68 3" xfId="3236"/>
    <cellStyle name="Normal 6 69" xfId="1053"/>
    <cellStyle name="Normal 6 69 2" xfId="1483"/>
    <cellStyle name="Normal 6 69 2 2" xfId="3237"/>
    <cellStyle name="Normal 6 69 3" xfId="3238"/>
    <cellStyle name="Normal 6 7" xfId="1054"/>
    <cellStyle name="Normal 6 7 2" xfId="1484"/>
    <cellStyle name="Normal 6 7 2 2" xfId="3239"/>
    <cellStyle name="Normal 6 7 3" xfId="3240"/>
    <cellStyle name="Normal 6 70" xfId="1055"/>
    <cellStyle name="Normal 6 70 2" xfId="1485"/>
    <cellStyle name="Normal 6 70 2 2" xfId="3241"/>
    <cellStyle name="Normal 6 70 3" xfId="3242"/>
    <cellStyle name="Normal 6 71" xfId="1056"/>
    <cellStyle name="Normal 6 71 2" xfId="1486"/>
    <cellStyle name="Normal 6 71 2 2" xfId="3243"/>
    <cellStyle name="Normal 6 71 3" xfId="3244"/>
    <cellStyle name="Normal 6 72" xfId="1057"/>
    <cellStyle name="Normal 6 72 2" xfId="1487"/>
    <cellStyle name="Normal 6 72 2 2" xfId="3245"/>
    <cellStyle name="Normal 6 72 3" xfId="3246"/>
    <cellStyle name="Normal 6 73" xfId="1058"/>
    <cellStyle name="Normal 6 73 2" xfId="1488"/>
    <cellStyle name="Normal 6 73 2 2" xfId="3247"/>
    <cellStyle name="Normal 6 73 3" xfId="3248"/>
    <cellStyle name="Normal 6 74" xfId="1059"/>
    <cellStyle name="Normal 6 74 2" xfId="1489"/>
    <cellStyle name="Normal 6 74 2 2" xfId="3249"/>
    <cellStyle name="Normal 6 74 3" xfId="3250"/>
    <cellStyle name="Normal 6 75" xfId="1561"/>
    <cellStyle name="Normal 6 8" xfId="1060"/>
    <cellStyle name="Normal 6 8 2" xfId="1490"/>
    <cellStyle name="Normal 6 8 2 2" xfId="3251"/>
    <cellStyle name="Normal 6 8 3" xfId="3252"/>
    <cellStyle name="Normal 6 9" xfId="1061"/>
    <cellStyle name="Normal 6 9 2" xfId="1491"/>
    <cellStyle name="Normal 6 9 2 2" xfId="3253"/>
    <cellStyle name="Normal 6 9 3" xfId="3254"/>
    <cellStyle name="Normal 6_X ESTABLECIMIENTOS" xfId="1062"/>
    <cellStyle name="Normal 60" xfId="299"/>
    <cellStyle name="Normal 60 2" xfId="3255"/>
    <cellStyle name="Normal 60 3" xfId="3256"/>
    <cellStyle name="Normal 61" xfId="300"/>
    <cellStyle name="Normal 61 2" xfId="3257"/>
    <cellStyle name="Normal 61 3" xfId="3258"/>
    <cellStyle name="Normal 62" xfId="301"/>
    <cellStyle name="Normal 62 2" xfId="3259"/>
    <cellStyle name="Normal 62 3" xfId="3260"/>
    <cellStyle name="Normal 63" xfId="302"/>
    <cellStyle name="Normal 63 2" xfId="3261"/>
    <cellStyle name="Normal 63 3" xfId="3262"/>
    <cellStyle name="Normal 64" xfId="303"/>
    <cellStyle name="Normal 64 2" xfId="3263"/>
    <cellStyle name="Normal 64 3" xfId="3264"/>
    <cellStyle name="Normal 65" xfId="304"/>
    <cellStyle name="Normal 65 2" xfId="3265"/>
    <cellStyle name="Normal 65 3" xfId="3266"/>
    <cellStyle name="Normal 66" xfId="305"/>
    <cellStyle name="Normal 66 2" xfId="3267"/>
    <cellStyle name="Normal 66 3" xfId="3268"/>
    <cellStyle name="Normal 67" xfId="306"/>
    <cellStyle name="Normal 67 2" xfId="3269"/>
    <cellStyle name="Normal 67 3" xfId="3270"/>
    <cellStyle name="Normal 68" xfId="307"/>
    <cellStyle name="Normal 68 2" xfId="3271"/>
    <cellStyle name="Normal 68 3" xfId="3272"/>
    <cellStyle name="Normal 69" xfId="308"/>
    <cellStyle name="Normal 69 2" xfId="3273"/>
    <cellStyle name="Normal 69 3" xfId="3274"/>
    <cellStyle name="Normal 7" xfId="309"/>
    <cellStyle name="Normal 7 10" xfId="1063"/>
    <cellStyle name="Normal 7 11" xfId="1064"/>
    <cellStyle name="Normal 7 12" xfId="1065"/>
    <cellStyle name="Normal 7 13" xfId="1503"/>
    <cellStyle name="Normal 7 2" xfId="1066"/>
    <cellStyle name="Normal 7 2 2" xfId="1067"/>
    <cellStyle name="Normal 7 2 2 2" xfId="1492"/>
    <cellStyle name="Normal 7 2 2 2 2" xfId="3275"/>
    <cellStyle name="Normal 7 2 2 3" xfId="3276"/>
    <cellStyle name="Normal 7 3" xfId="1068"/>
    <cellStyle name="Normal 7 3 2" xfId="1069"/>
    <cellStyle name="Normal 7 3 3" xfId="1493"/>
    <cellStyle name="Normal 7 3 3 2" xfId="3277"/>
    <cellStyle name="Normal 7 3 4" xfId="3278"/>
    <cellStyle name="Normal 7 4" xfId="1070"/>
    <cellStyle name="Normal 7 4 2" xfId="1071"/>
    <cellStyle name="Normal 7 4 3" xfId="1494"/>
    <cellStyle name="Normal 7 4 3 2" xfId="3279"/>
    <cellStyle name="Normal 7 4 4" xfId="3280"/>
    <cellStyle name="Normal 7 5" xfId="1072"/>
    <cellStyle name="Normal 7 5 2" xfId="1073"/>
    <cellStyle name="Normal 7 5 3" xfId="1495"/>
    <cellStyle name="Normal 7 5 3 2" xfId="3281"/>
    <cellStyle name="Normal 7 5 4" xfId="3282"/>
    <cellStyle name="Normal 7 6" xfId="1074"/>
    <cellStyle name="Normal 7 6 2" xfId="1075"/>
    <cellStyle name="Normal 7 7" xfId="1076"/>
    <cellStyle name="Normal 7 8" xfId="1077"/>
    <cellStyle name="Normal 7 9" xfId="1078"/>
    <cellStyle name="Normal 7_X ESTABLECIMIENTOS" xfId="1079"/>
    <cellStyle name="Normal 70" xfId="310"/>
    <cellStyle name="Normal 70 2" xfId="3283"/>
    <cellStyle name="Normal 70 3" xfId="3284"/>
    <cellStyle name="Normal 71" xfId="311"/>
    <cellStyle name="Normal 71 2" xfId="3285"/>
    <cellStyle name="Normal 71 3" xfId="3286"/>
    <cellStyle name="Normal 72" xfId="312"/>
    <cellStyle name="Normal 72 2" xfId="3287"/>
    <cellStyle name="Normal 72 3" xfId="3288"/>
    <cellStyle name="Normal 73" xfId="313"/>
    <cellStyle name="Normal 73 2" xfId="3289"/>
    <cellStyle name="Normal 73 3" xfId="3290"/>
    <cellStyle name="Normal 74" xfId="314"/>
    <cellStyle name="Normal 74 2" xfId="315"/>
    <cellStyle name="Normal 74 2 2" xfId="1620"/>
    <cellStyle name="Normal 74 3" xfId="1621"/>
    <cellStyle name="Normal 74 4" xfId="1622"/>
    <cellStyle name="Normal 74 4 2" xfId="3291"/>
    <cellStyle name="Normal 75" xfId="316"/>
    <cellStyle name="Normal 75 2" xfId="3292"/>
    <cellStyle name="Normal 76" xfId="317"/>
    <cellStyle name="Normal 76 2" xfId="3293"/>
    <cellStyle name="Normal 77" xfId="318"/>
    <cellStyle name="Normal 77 2" xfId="3294"/>
    <cellStyle name="Normal 78" xfId="319"/>
    <cellStyle name="Normal 78 2" xfId="1623"/>
    <cellStyle name="Normal 79" xfId="320"/>
    <cellStyle name="Normal 79 2" xfId="3295"/>
    <cellStyle name="Normal 8" xfId="321"/>
    <cellStyle name="Normal 8 10" xfId="1080"/>
    <cellStyle name="Normal 8 11" xfId="1081"/>
    <cellStyle name="Normal 8 12" xfId="1082"/>
    <cellStyle name="Normal 8 13" xfId="1083"/>
    <cellStyle name="Normal 8 14" xfId="1084"/>
    <cellStyle name="Normal 8 15" xfId="1085"/>
    <cellStyle name="Normal 8 16" xfId="1086"/>
    <cellStyle name="Normal 8 17" xfId="1087"/>
    <cellStyle name="Normal 8 18" xfId="1088"/>
    <cellStyle name="Normal 8 19" xfId="1089"/>
    <cellStyle name="Normal 8 2" xfId="1090"/>
    <cellStyle name="Normal 8 20" xfId="1091"/>
    <cellStyle name="Normal 8 21" xfId="1092"/>
    <cellStyle name="Normal 8 22" xfId="1093"/>
    <cellStyle name="Normal 8 23" xfId="1094"/>
    <cellStyle name="Normal 8 24" xfId="1095"/>
    <cellStyle name="Normal 8 25" xfId="1096"/>
    <cellStyle name="Normal 8 26" xfId="1097"/>
    <cellStyle name="Normal 8 27" xfId="1098"/>
    <cellStyle name="Normal 8 28" xfId="1099"/>
    <cellStyle name="Normal 8 29" xfId="1100"/>
    <cellStyle name="Normal 8 3" xfId="1101"/>
    <cellStyle name="Normal 8 3 2" xfId="1102"/>
    <cellStyle name="Normal 8 30" xfId="1103"/>
    <cellStyle name="Normal 8 31" xfId="1504"/>
    <cellStyle name="Normal 8 4" xfId="1104"/>
    <cellStyle name="Normal 8 5" xfId="1105"/>
    <cellStyle name="Normal 8 6" xfId="1106"/>
    <cellStyle name="Normal 8 7" xfId="1107"/>
    <cellStyle name="Normal 8 8" xfId="1108"/>
    <cellStyle name="Normal 8 9" xfId="1109"/>
    <cellStyle name="Normal 80" xfId="322"/>
    <cellStyle name="Normal 81" xfId="323"/>
    <cellStyle name="Normal 81 2" xfId="3296"/>
    <cellStyle name="Normal 82" xfId="324"/>
    <cellStyle name="Normal 82 2" xfId="3297"/>
    <cellStyle name="Normal 83" xfId="325"/>
    <cellStyle name="Normal 83 2" xfId="1624"/>
    <cellStyle name="Normal 83 2 2" xfId="3298"/>
    <cellStyle name="Normal 84" xfId="384"/>
    <cellStyle name="Normal 84 2" xfId="413"/>
    <cellStyle name="Normal 84 2 2" xfId="434"/>
    <cellStyle name="Normal 84 3" xfId="416"/>
    <cellStyle name="Normal 85" xfId="419"/>
    <cellStyle name="Normal 85 2" xfId="425"/>
    <cellStyle name="Normal 85 3" xfId="1729"/>
    <cellStyle name="Normal 86" xfId="428"/>
    <cellStyle name="Normal 86 2" xfId="3300"/>
    <cellStyle name="Normal 86 3" xfId="3299"/>
    <cellStyle name="Normal 87" xfId="429"/>
    <cellStyle name="Normal 87 2" xfId="439"/>
    <cellStyle name="Normal 87 3" xfId="1731"/>
    <cellStyle name="Normal 88" xfId="438"/>
    <cellStyle name="Normal 88 2" xfId="1164"/>
    <cellStyle name="Normal 88 3" xfId="1734"/>
    <cellStyle name="Normal 89" xfId="1157"/>
    <cellStyle name="Normal 89 2" xfId="1165"/>
    <cellStyle name="Normal 89 3" xfId="1744"/>
    <cellStyle name="Normal 9" xfId="326"/>
    <cellStyle name="Normal 9 10" xfId="1110"/>
    <cellStyle name="Normal 9 11" xfId="1111"/>
    <cellStyle name="Normal 9 12" xfId="1112"/>
    <cellStyle name="Normal 9 13" xfId="1113"/>
    <cellStyle name="Normal 9 14" xfId="1114"/>
    <cellStyle name="Normal 9 15" xfId="1115"/>
    <cellStyle name="Normal 9 16" xfId="1116"/>
    <cellStyle name="Normal 9 17" xfId="1117"/>
    <cellStyle name="Normal 9 18" xfId="1118"/>
    <cellStyle name="Normal 9 19" xfId="1119"/>
    <cellStyle name="Normal 9 2" xfId="1120"/>
    <cellStyle name="Normal 9 20" xfId="1121"/>
    <cellStyle name="Normal 9 21" xfId="1122"/>
    <cellStyle name="Normal 9 22" xfId="1123"/>
    <cellStyle name="Normal 9 23" xfId="1124"/>
    <cellStyle name="Normal 9 24" xfId="1125"/>
    <cellStyle name="Normal 9 25" xfId="1126"/>
    <cellStyle name="Normal 9 26" xfId="1127"/>
    <cellStyle name="Normal 9 27" xfId="1128"/>
    <cellStyle name="Normal 9 28" xfId="1129"/>
    <cellStyle name="Normal 9 29" xfId="1130"/>
    <cellStyle name="Normal 9 3" xfId="1131"/>
    <cellStyle name="Normal 9 30" xfId="1132"/>
    <cellStyle name="Normal 9 31" xfId="1505"/>
    <cellStyle name="Normal 9 4" xfId="1133"/>
    <cellStyle name="Normal 9 5" xfId="1134"/>
    <cellStyle name="Normal 9 6" xfId="1135"/>
    <cellStyle name="Normal 9 7" xfId="1136"/>
    <cellStyle name="Normal 9 8" xfId="1137"/>
    <cellStyle name="Normal 9 9" xfId="1138"/>
    <cellStyle name="Normal 90" xfId="1160"/>
    <cellStyle name="Normal 90 2" xfId="1646"/>
    <cellStyle name="Normal 90 3" xfId="1747"/>
    <cellStyle name="Normal 91" xfId="1566"/>
    <cellStyle name="Normal 91 2" xfId="1754"/>
    <cellStyle name="Normal 91 2 2" xfId="3302"/>
    <cellStyle name="Normal 91 3" xfId="3301"/>
    <cellStyle name="Normal 92" xfId="1636"/>
    <cellStyle name="Normal 92 2" xfId="1760"/>
    <cellStyle name="Normal 93" xfId="1637"/>
    <cellStyle name="Normal 93 2" xfId="1761"/>
    <cellStyle name="Normal 93 3" xfId="3303"/>
    <cellStyle name="Normal 94" xfId="1645"/>
    <cellStyle name="Normal 94 2" xfId="1762"/>
    <cellStyle name="Normal 94 3" xfId="3304"/>
    <cellStyle name="Normal 95" xfId="1647"/>
    <cellStyle name="Normal 95 2" xfId="1763"/>
    <cellStyle name="Normal 95 3" xfId="3305"/>
    <cellStyle name="Normal 96" xfId="1648"/>
    <cellStyle name="Normal 96 2" xfId="1764"/>
    <cellStyle name="Normal 96 3" xfId="3306"/>
    <cellStyle name="Normal 97" xfId="1649"/>
    <cellStyle name="Normal 97 2" xfId="1765"/>
    <cellStyle name="Normal 97 3" xfId="3307"/>
    <cellStyle name="Normal 98" xfId="1650"/>
    <cellStyle name="Normal 98 2" xfId="1766"/>
    <cellStyle name="Normal 98 3" xfId="3308"/>
    <cellStyle name="Normal 99" xfId="1768"/>
    <cellStyle name="Normal 99 2" xfId="3309"/>
    <cellStyle name="Normal 99 3" xfId="3627"/>
    <cellStyle name="Notas" xfId="1156" builtinId="10" customBuiltin="1"/>
    <cellStyle name="Notas 2" xfId="327"/>
    <cellStyle name="Notas 2 10" xfId="3310"/>
    <cellStyle name="Notas 2 2" xfId="328"/>
    <cellStyle name="Notas 2 2 2" xfId="1496"/>
    <cellStyle name="Notas 2 3" xfId="1625"/>
    <cellStyle name="Notas 2 3 2" xfId="3312"/>
    <cellStyle name="Notas 2 3 2 2" xfId="3313"/>
    <cellStyle name="Notas 2 3 3" xfId="3314"/>
    <cellStyle name="Notas 2 3 3 2" xfId="3315"/>
    <cellStyle name="Notas 2 3 4" xfId="3316"/>
    <cellStyle name="Notas 2 3 5" xfId="3317"/>
    <cellStyle name="Notas 2 3 6" xfId="3311"/>
    <cellStyle name="Notas 2 4" xfId="3318"/>
    <cellStyle name="Notas 2 4 2" xfId="3319"/>
    <cellStyle name="Notas 2 4 2 2" xfId="3320"/>
    <cellStyle name="Notas 2 4 3" xfId="3321"/>
    <cellStyle name="Notas 2 4 3 2" xfId="3322"/>
    <cellStyle name="Notas 2 4 4" xfId="3323"/>
    <cellStyle name="Notas 2 5" xfId="3324"/>
    <cellStyle name="Notas 2 5 2" xfId="3325"/>
    <cellStyle name="Notas 2 5 2 2" xfId="3326"/>
    <cellStyle name="Notas 2 5 3" xfId="3327"/>
    <cellStyle name="Notas 2 5 3 2" xfId="3328"/>
    <cellStyle name="Notas 2 5 4" xfId="3329"/>
    <cellStyle name="Notas 2 6" xfId="3330"/>
    <cellStyle name="Notas 2 6 2" xfId="3331"/>
    <cellStyle name="Notas 2 6 2 2" xfId="3332"/>
    <cellStyle name="Notas 2 6 3" xfId="3333"/>
    <cellStyle name="Notas 2 7" xfId="3334"/>
    <cellStyle name="Notas 2 7 2" xfId="3335"/>
    <cellStyle name="Notas 2 8" xfId="3336"/>
    <cellStyle name="Notas 2 8 2" xfId="3337"/>
    <cellStyle name="Notas 2 9" xfId="3338"/>
    <cellStyle name="Notas 3" xfId="329"/>
    <cellStyle name="Notas 3 2" xfId="1497"/>
    <cellStyle name="Notas 4" xfId="3339"/>
    <cellStyle name="Notas 5" xfId="3340"/>
    <cellStyle name="Notas 5 2" xfId="3341"/>
    <cellStyle name="Notas 5 2 2" xfId="3342"/>
    <cellStyle name="Notas 5 3" xfId="3343"/>
    <cellStyle name="Notas 5 3 2" xfId="3344"/>
    <cellStyle name="Notas 5 4" xfId="3345"/>
    <cellStyle name="Notas 6" xfId="3346"/>
    <cellStyle name="Notas 6 2" xfId="3347"/>
    <cellStyle name="Notas 6 2 2" xfId="3348"/>
    <cellStyle name="Notas 6 3" xfId="3349"/>
    <cellStyle name="Notas 6 3 2" xfId="3350"/>
    <cellStyle name="Notas 6 4" xfId="3351"/>
    <cellStyle name="Notas 7" xfId="3352"/>
    <cellStyle name="Notas 7 2" xfId="3353"/>
    <cellStyle name="Notas 7 2 2" xfId="3354"/>
    <cellStyle name="Notas 7 3" xfId="3355"/>
    <cellStyle name="Note" xfId="1562"/>
    <cellStyle name="OKBENE2.XLS" xfId="330"/>
    <cellStyle name="OKBENE2.XLS 2" xfId="331"/>
    <cellStyle name="OKBENE2.XLS 2 2" xfId="395"/>
    <cellStyle name="OKBENE2.XLS 2 2 2" xfId="1139"/>
    <cellStyle name="OKBENE2.XLS 2 3" xfId="1626"/>
    <cellStyle name="Output" xfId="1563"/>
    <cellStyle name="Porcentaje" xfId="1" builtinId="5"/>
    <cellStyle name="Porcentaje 10" xfId="388"/>
    <cellStyle name="Porcentaje 10 2" xfId="414"/>
    <cellStyle name="Porcentaje 10 2 2" xfId="432"/>
    <cellStyle name="Porcentaje 10 2 2 2" xfId="3356"/>
    <cellStyle name="Porcentaje 10 2 3" xfId="3357"/>
    <cellStyle name="Porcentaje 10 3" xfId="417"/>
    <cellStyle name="Porcentaje 11" xfId="1140"/>
    <cellStyle name="Porcentaje 12" xfId="1141"/>
    <cellStyle name="Porcentaje 12 2" xfId="1628"/>
    <cellStyle name="Porcentaje 12 2 2" xfId="3359"/>
    <cellStyle name="Porcentaje 12 3" xfId="3360"/>
    <cellStyle name="Porcentaje 12 3 2" xfId="3361"/>
    <cellStyle name="Porcentaje 12 4" xfId="3362"/>
    <cellStyle name="Porcentaje 12 5" xfId="3358"/>
    <cellStyle name="Porcentaje 13" xfId="433"/>
    <cellStyle name="Porcentaje 13 2" xfId="1732"/>
    <cellStyle name="Porcentaje 14" xfId="1159"/>
    <cellStyle name="Porcentaje 14 2" xfId="1746"/>
    <cellStyle name="Porcentaje 14 2 2" xfId="3364"/>
    <cellStyle name="Porcentaje 14 2 2 2" xfId="3365"/>
    <cellStyle name="Porcentaje 14 2 3" xfId="3366"/>
    <cellStyle name="Porcentaje 14 2 3 2" xfId="3367"/>
    <cellStyle name="Porcentaje 14 2 4" xfId="3368"/>
    <cellStyle name="Porcentaje 14 2 5" xfId="3363"/>
    <cellStyle name="Porcentaje 14 3" xfId="3369"/>
    <cellStyle name="Porcentaje 14 3 2" xfId="3370"/>
    <cellStyle name="Porcentaje 14 4" xfId="3371"/>
    <cellStyle name="Porcentaje 14 4 2" xfId="3372"/>
    <cellStyle name="Porcentaje 14 5" xfId="3373"/>
    <cellStyle name="Porcentaje 14 6" xfId="3374"/>
    <cellStyle name="Porcentaje 15" xfId="1627"/>
    <cellStyle name="Porcentaje 15 2" xfId="1759"/>
    <cellStyle name="Porcentaje 15 2 2" xfId="3377"/>
    <cellStyle name="Porcentaje 15 2 3" xfId="3376"/>
    <cellStyle name="Porcentaje 15 3" xfId="3378"/>
    <cellStyle name="Porcentaje 15 3 2" xfId="3379"/>
    <cellStyle name="Porcentaje 15 4" xfId="3380"/>
    <cellStyle name="Porcentaje 15 5" xfId="3375"/>
    <cellStyle name="Porcentaje 16" xfId="3381"/>
    <cellStyle name="Porcentaje 16 2" xfId="3382"/>
    <cellStyle name="Porcentaje 16 2 2" xfId="3383"/>
    <cellStyle name="Porcentaje 16 3" xfId="3384"/>
    <cellStyle name="Porcentaje 16 3 2" xfId="3385"/>
    <cellStyle name="Porcentaje 16 4" xfId="3386"/>
    <cellStyle name="Porcentaje 17" xfId="3387"/>
    <cellStyle name="Porcentaje 17 2" xfId="3388"/>
    <cellStyle name="Porcentaje 17 2 2" xfId="3389"/>
    <cellStyle name="Porcentaje 17 3" xfId="3390"/>
    <cellStyle name="Porcentaje 17 3 2" xfId="3391"/>
    <cellStyle name="Porcentaje 17 4" xfId="3392"/>
    <cellStyle name="Porcentaje 18" xfId="3393"/>
    <cellStyle name="Porcentaje 18 2" xfId="3394"/>
    <cellStyle name="Porcentaje 18 2 2" xfId="3395"/>
    <cellStyle name="Porcentaje 18 3" xfId="3396"/>
    <cellStyle name="Porcentaje 19" xfId="3397"/>
    <cellStyle name="Porcentaje 2" xfId="4"/>
    <cellStyle name="Porcentaje 2 2" xfId="332"/>
    <cellStyle name="Porcentaje 2 2 2" xfId="1498"/>
    <cellStyle name="Porcentaje 2 3" xfId="1146"/>
    <cellStyle name="Porcentaje 20" xfId="3398"/>
    <cellStyle name="Porcentaje 20 2" xfId="3399"/>
    <cellStyle name="Porcentaje 3" xfId="333"/>
    <cellStyle name="Porcentaje 3 2" xfId="334"/>
    <cellStyle name="Porcentaje 3 3" xfId="426"/>
    <cellStyle name="Porcentaje 3 3 2" xfId="3400"/>
    <cellStyle name="Porcentaje 4" xfId="335"/>
    <cellStyle name="Porcentaje 4 2" xfId="336"/>
    <cellStyle name="Porcentaje 5" xfId="337"/>
    <cellStyle name="Porcentaje 6" xfId="338"/>
    <cellStyle name="Porcentaje 7" xfId="339"/>
    <cellStyle name="Porcentaje 7 2" xfId="1142"/>
    <cellStyle name="Porcentaje 7 3" xfId="1506"/>
    <cellStyle name="Porcentaje 7 3 2" xfId="3402"/>
    <cellStyle name="Porcentaje 7 3 2 2" xfId="3403"/>
    <cellStyle name="Porcentaje 7 3 2 2 2" xfId="3404"/>
    <cellStyle name="Porcentaje 7 3 2 3" xfId="3405"/>
    <cellStyle name="Porcentaje 7 3 2 3 2" xfId="3406"/>
    <cellStyle name="Porcentaje 7 3 2 4" xfId="3407"/>
    <cellStyle name="Porcentaje 7 3 3" xfId="3408"/>
    <cellStyle name="Porcentaje 7 3 3 2" xfId="3409"/>
    <cellStyle name="Porcentaje 7 3 4" xfId="3410"/>
    <cellStyle name="Porcentaje 7 3 4 2" xfId="3411"/>
    <cellStyle name="Porcentaje 7 3 5" xfId="3412"/>
    <cellStyle name="Porcentaje 7 3 6" xfId="3401"/>
    <cellStyle name="Porcentaje 7 4" xfId="3413"/>
    <cellStyle name="Porcentaje 8" xfId="340"/>
    <cellStyle name="Porcentaje 8 2" xfId="1143"/>
    <cellStyle name="Porcentaje 8 2 2" xfId="3415"/>
    <cellStyle name="Porcentaje 8 2 2 2" xfId="3416"/>
    <cellStyle name="Porcentaje 8 2 2 2 2" xfId="3417"/>
    <cellStyle name="Porcentaje 8 2 2 3" xfId="3418"/>
    <cellStyle name="Porcentaje 8 2 2 3 2" xfId="3419"/>
    <cellStyle name="Porcentaje 8 2 2 4" xfId="3420"/>
    <cellStyle name="Porcentaje 8 2 3" xfId="3421"/>
    <cellStyle name="Porcentaje 8 2 3 2" xfId="3422"/>
    <cellStyle name="Porcentaje 8 2 4" xfId="3423"/>
    <cellStyle name="Porcentaje 8 2 4 2" xfId="3424"/>
    <cellStyle name="Porcentaje 8 2 5" xfId="3425"/>
    <cellStyle name="Porcentaje 8 2 6" xfId="3414"/>
    <cellStyle name="Porcentaje 8 3" xfId="1499"/>
    <cellStyle name="Porcentaje 8 3 2" xfId="3427"/>
    <cellStyle name="Porcentaje 8 3 2 2" xfId="3428"/>
    <cellStyle name="Porcentaje 8 3 2 2 2" xfId="3429"/>
    <cellStyle name="Porcentaje 8 3 2 3" xfId="3430"/>
    <cellStyle name="Porcentaje 8 3 2 3 2" xfId="3431"/>
    <cellStyle name="Porcentaje 8 3 2 4" xfId="3432"/>
    <cellStyle name="Porcentaje 8 3 3" xfId="3433"/>
    <cellStyle name="Porcentaje 8 3 3 2" xfId="3434"/>
    <cellStyle name="Porcentaje 8 3 4" xfId="3435"/>
    <cellStyle name="Porcentaje 8 3 4 2" xfId="3436"/>
    <cellStyle name="Porcentaje 8 3 5" xfId="3437"/>
    <cellStyle name="Porcentaje 8 3 6" xfId="3426"/>
    <cellStyle name="Porcentaje 9" xfId="341"/>
    <cellStyle name="Porcentaje 9 2" xfId="1144"/>
    <cellStyle name="Porcentaje 9 3" xfId="3438"/>
    <cellStyle name="Porcentual 2" xfId="3"/>
    <cellStyle name="Porcentual 2 10" xfId="1507"/>
    <cellStyle name="Porcentual 2 11" xfId="1508"/>
    <cellStyle name="Porcentual 2 2" xfId="342"/>
    <cellStyle name="Porcentual 2 2 2" xfId="343"/>
    <cellStyle name="Porcentual 2 2 3" xfId="3439"/>
    <cellStyle name="Porcentual 2 3" xfId="344"/>
    <cellStyle name="Porcentual 2 3 2" xfId="345"/>
    <cellStyle name="Porcentual 2 3 3" xfId="3440"/>
    <cellStyle name="Porcentual 2 4" xfId="346"/>
    <cellStyle name="Porcentual 2 4 2" xfId="347"/>
    <cellStyle name="Porcentual 2 4 3" xfId="3441"/>
    <cellStyle name="Porcentual 2 5" xfId="348"/>
    <cellStyle name="Porcentual 2 5 2" xfId="349"/>
    <cellStyle name="Porcentual 2 5 3" xfId="3442"/>
    <cellStyle name="Porcentual 2 6" xfId="350"/>
    <cellStyle name="Porcentual 2 6 2" xfId="351"/>
    <cellStyle name="Porcentual 2 6 3" xfId="3443"/>
    <cellStyle name="Porcentual 2 7" xfId="352"/>
    <cellStyle name="Porcentual 2 7 2" xfId="353"/>
    <cellStyle name="Porcentual 2 7 3" xfId="3444"/>
    <cellStyle name="Porcentual 2 8" xfId="1509"/>
    <cellStyle name="Porcentual 2 9" xfId="1510"/>
    <cellStyle name="Porcentual 3" xfId="354"/>
    <cellStyle name="Porcentual 3 2" xfId="3445"/>
    <cellStyle name="Porcentual 3 3" xfId="3446"/>
    <cellStyle name="Porcentual 4" xfId="355"/>
    <cellStyle name="Porcentual 4 2" xfId="3447"/>
    <cellStyle name="Porcentual 4 3" xfId="3448"/>
    <cellStyle name="Porcentual 5" xfId="356"/>
    <cellStyle name="Porcentual 5 2" xfId="3449"/>
    <cellStyle name="Porcentual 6" xfId="1511"/>
    <cellStyle name="Salida" xfId="1659" builtinId="21" customBuiltin="1"/>
    <cellStyle name="Salida 2" xfId="357"/>
    <cellStyle name="Salida 2 2" xfId="1500"/>
    <cellStyle name="Salida 2 2 2" xfId="1629"/>
    <cellStyle name="Salida 2 2 2 2" xfId="3452"/>
    <cellStyle name="Salida 2 2 3" xfId="3453"/>
    <cellStyle name="Salida 2 2 4" xfId="3451"/>
    <cellStyle name="Salida 2 3" xfId="3454"/>
    <cellStyle name="Salida 2 3 2" xfId="3455"/>
    <cellStyle name="Salida 2 3 3" xfId="3456"/>
    <cellStyle name="Salida 2 3 4" xfId="3457"/>
    <cellStyle name="Salida 3" xfId="358"/>
    <cellStyle name="Salida 3 2" xfId="3459"/>
    <cellStyle name="Salida 3 3" xfId="3460"/>
    <cellStyle name="Salida 3 4" xfId="3461"/>
    <cellStyle name="Salida 3 5" xfId="3458"/>
    <cellStyle name="Salida 4" xfId="359"/>
    <cellStyle name="Salida 5" xfId="3462"/>
    <cellStyle name="Salida 6" xfId="3450"/>
    <cellStyle name="Texto de advertencia" xfId="1663" builtinId="11" customBuiltin="1"/>
    <cellStyle name="Texto de advertencia 2" xfId="360"/>
    <cellStyle name="Texto de advertencia 2 2" xfId="1630"/>
    <cellStyle name="Texto de advertencia 3" xfId="361"/>
    <cellStyle name="Texto de advertencia 4" xfId="362"/>
    <cellStyle name="Texto explicativo" xfId="1664" builtinId="53" customBuiltin="1"/>
    <cellStyle name="Texto explicativo 2" xfId="363"/>
    <cellStyle name="Texto explicativo 2 2" xfId="1631"/>
    <cellStyle name="Texto explicativo 3" xfId="364"/>
    <cellStyle name="Texto explicativo 4" xfId="365"/>
    <cellStyle name="Title" xfId="1564"/>
    <cellStyle name="Título" xfId="1148" builtinId="15" customBuiltin="1"/>
    <cellStyle name="Título 1 2" xfId="366"/>
    <cellStyle name="Título 1 2 2" xfId="1632"/>
    <cellStyle name="Título 1 2 2 2" xfId="3465"/>
    <cellStyle name="Título 1 2 2 2 2" xfId="3466"/>
    <cellStyle name="Título 1 2 2 3" xfId="3467"/>
    <cellStyle name="Título 1 2 2 3 2" xfId="3468"/>
    <cellStyle name="Título 1 2 2 4" xfId="3469"/>
    <cellStyle name="Título 1 2 2 5" xfId="3464"/>
    <cellStyle name="Título 1 3" xfId="367"/>
    <cellStyle name="Título 1 3 2" xfId="3471"/>
    <cellStyle name="Título 1 3 2 2" xfId="3472"/>
    <cellStyle name="Título 1 3 3" xfId="3473"/>
    <cellStyle name="Título 1 3 3 2" xfId="3474"/>
    <cellStyle name="Título 1 3 4" xfId="3475"/>
    <cellStyle name="Título 1 3 5" xfId="3470"/>
    <cellStyle name="Título 1 4" xfId="368"/>
    <cellStyle name="Título 2" xfId="1652" builtinId="17" customBuiltin="1"/>
    <cellStyle name="Título 2 2" xfId="369"/>
    <cellStyle name="Título 2 2 2" xfId="1633"/>
    <cellStyle name="Título 2 2 2 2" xfId="3478"/>
    <cellStyle name="Título 2 2 2 3" xfId="3479"/>
    <cellStyle name="Título 2 2 2 4" xfId="3480"/>
    <cellStyle name="Título 2 2 2 5" xfId="3477"/>
    <cellStyle name="Título 2 3" xfId="370"/>
    <cellStyle name="Título 2 3 2" xfId="3482"/>
    <cellStyle name="Título 2 3 3" xfId="3483"/>
    <cellStyle name="Título 2 3 4" xfId="3484"/>
    <cellStyle name="Título 2 3 5" xfId="3481"/>
    <cellStyle name="Título 2 4" xfId="371"/>
    <cellStyle name="Título 2 5" xfId="3485"/>
    <cellStyle name="Título 2 6" xfId="3476"/>
    <cellStyle name="Título 3" xfId="1653" builtinId="18" customBuiltin="1"/>
    <cellStyle name="Título 3 2" xfId="372"/>
    <cellStyle name="Título 3 2 2" xfId="1634"/>
    <cellStyle name="Título 3 2 2 2" xfId="3488"/>
    <cellStyle name="Título 3 2 2 2 2" xfId="3489"/>
    <cellStyle name="Título 3 2 2 3" xfId="3490"/>
    <cellStyle name="Título 3 2 2 3 2" xfId="3491"/>
    <cellStyle name="Título 3 2 2 4" xfId="3492"/>
    <cellStyle name="Título 3 2 2 5" xfId="3487"/>
    <cellStyle name="Título 3 3" xfId="373"/>
    <cellStyle name="Título 3 3 2" xfId="3494"/>
    <cellStyle name="Título 3 3 2 2" xfId="3495"/>
    <cellStyle name="Título 3 3 3" xfId="3496"/>
    <cellStyle name="Título 3 3 3 2" xfId="3497"/>
    <cellStyle name="Título 3 3 4" xfId="3498"/>
    <cellStyle name="Título 3 3 5" xfId="3493"/>
    <cellStyle name="Título 3 4" xfId="374"/>
    <cellStyle name="Título 3 5" xfId="3499"/>
    <cellStyle name="Título 3 5 2" xfId="3500"/>
    <cellStyle name="Título 3 6" xfId="3486"/>
    <cellStyle name="Título 4" xfId="375"/>
    <cellStyle name="Título 4 2" xfId="376"/>
    <cellStyle name="Título 4 2 2" xfId="3502"/>
    <cellStyle name="Título 4 2 2 2" xfId="3503"/>
    <cellStyle name="Título 4 2 3" xfId="3504"/>
    <cellStyle name="Título 4 2 3 2" xfId="3505"/>
    <cellStyle name="Título 4 2 4" xfId="3506"/>
    <cellStyle name="Título 4 2 5" xfId="3501"/>
    <cellStyle name="Título 5" xfId="377"/>
    <cellStyle name="Título 5 2" xfId="378"/>
    <cellStyle name="Título 5 3" xfId="3508"/>
    <cellStyle name="Título 5 3 2" xfId="3509"/>
    <cellStyle name="Título 5 4" xfId="3510"/>
    <cellStyle name="Título 5 4 2" xfId="3511"/>
    <cellStyle name="Título 5 5" xfId="3512"/>
    <cellStyle name="Título 5 6" xfId="3507"/>
    <cellStyle name="Título 6" xfId="379"/>
    <cellStyle name="Título 7" xfId="3513"/>
    <cellStyle name="Título 7 2" xfId="3514"/>
    <cellStyle name="Título 7 3" xfId="3914"/>
    <cellStyle name="Título 7 4" xfId="3557"/>
    <cellStyle name="Título 8" xfId="3463"/>
    <cellStyle name="Total" xfId="1665" builtinId="25" customBuiltin="1"/>
    <cellStyle name="Total 2" xfId="380"/>
    <cellStyle name="Total 2 2" xfId="1635"/>
    <cellStyle name="Total 2 2 2" xfId="3517"/>
    <cellStyle name="Total 2 2 3" xfId="3518"/>
    <cellStyle name="Total 2 2 4" xfId="3519"/>
    <cellStyle name="Total 2 2 5" xfId="3516"/>
    <cellStyle name="Total 3" xfId="381"/>
    <cellStyle name="Total 3 2" xfId="3521"/>
    <cellStyle name="Total 3 3" xfId="3522"/>
    <cellStyle name="Total 3 4" xfId="3523"/>
    <cellStyle name="Total 3 5" xfId="3520"/>
    <cellStyle name="Total 4" xfId="382"/>
    <cellStyle name="Total 5" xfId="3524"/>
    <cellStyle name="Total 6" xfId="3515"/>
    <cellStyle name="Warning Text" xfId="1565"/>
  </cellStyles>
  <dxfs count="37">
    <dxf>
      <fill>
        <patternFill patternType="solid">
          <fgColor rgb="FFB6D7A8"/>
          <bgColor rgb="FFB6D7A8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C9DAF8"/>
          <bgColor rgb="FFC9DAF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C9DAF8"/>
          <bgColor rgb="FFC9DAF8"/>
        </patternFill>
      </fill>
    </dxf>
  </dxfs>
  <tableStyles count="0" defaultTableStyle="TableStyleMedium2" defaultPivotStyle="PivotStyleLight16"/>
  <colors>
    <mruColors>
      <color rgb="FF009900"/>
      <color rgb="FF004663"/>
      <color rgb="FF004C63"/>
      <color rgb="FF03425C"/>
      <color rgb="FFFFFF99"/>
      <color rgb="FF00CC00"/>
      <color rgb="FF008000"/>
      <color rgb="FF004D63"/>
      <color rgb="FF00425C"/>
      <color rgb="FF004C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421216</xdr:colOff>
      <xdr:row>157</xdr:row>
      <xdr:rowOff>414867</xdr:rowOff>
    </xdr:from>
    <xdr:to>
      <xdr:col>1</xdr:col>
      <xdr:colOff>547216</xdr:colOff>
      <xdr:row>157</xdr:row>
      <xdr:rowOff>540867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37DC76AC-4355-419F-BAB1-79398E49CF04}"/>
            </a:ext>
          </a:extLst>
        </xdr:cNvPr>
        <xdr:cNvSpPr/>
      </xdr:nvSpPr>
      <xdr:spPr>
        <a:xfrm>
          <a:off x="487891" y="3739092"/>
          <a:ext cx="126000" cy="126000"/>
        </a:xfrm>
        <a:prstGeom prst="ellipse">
          <a:avLst/>
        </a:prstGeom>
        <a:solidFill>
          <a:srgbClr val="00990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430741</xdr:colOff>
      <xdr:row>158</xdr:row>
      <xdr:rowOff>593725</xdr:rowOff>
    </xdr:from>
    <xdr:to>
      <xdr:col>1</xdr:col>
      <xdr:colOff>556741</xdr:colOff>
      <xdr:row>158</xdr:row>
      <xdr:rowOff>719725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796F0358-88DF-43E2-8583-7AD9DD93A045}"/>
            </a:ext>
          </a:extLst>
        </xdr:cNvPr>
        <xdr:cNvSpPr/>
      </xdr:nvSpPr>
      <xdr:spPr>
        <a:xfrm>
          <a:off x="497416" y="4718050"/>
          <a:ext cx="126000" cy="126000"/>
        </a:xfrm>
        <a:prstGeom prst="ellipse">
          <a:avLst/>
        </a:prstGeom>
        <a:solidFill>
          <a:srgbClr val="FFFF00"/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433916</xdr:colOff>
      <xdr:row>159</xdr:row>
      <xdr:rowOff>650871</xdr:rowOff>
    </xdr:from>
    <xdr:to>
      <xdr:col>1</xdr:col>
      <xdr:colOff>559916</xdr:colOff>
      <xdr:row>159</xdr:row>
      <xdr:rowOff>776871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8A2D285D-EE7F-4287-A693-2A8D6D24D7E7}"/>
            </a:ext>
          </a:extLst>
        </xdr:cNvPr>
        <xdr:cNvSpPr/>
      </xdr:nvSpPr>
      <xdr:spPr>
        <a:xfrm>
          <a:off x="500591" y="5908671"/>
          <a:ext cx="126000" cy="126000"/>
        </a:xfrm>
        <a:prstGeom prst="ellipse">
          <a:avLst/>
        </a:prstGeom>
        <a:solidFill>
          <a:srgbClr val="C00000"/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232834</xdr:colOff>
      <xdr:row>84</xdr:row>
      <xdr:rowOff>51406</xdr:rowOff>
    </xdr:from>
    <xdr:to>
      <xdr:col>3</xdr:col>
      <xdr:colOff>264583</xdr:colOff>
      <xdr:row>86</xdr:row>
      <xdr:rowOff>13607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4328584" y="19210263"/>
          <a:ext cx="412749" cy="42484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232834</xdr:colOff>
      <xdr:row>84</xdr:row>
      <xdr:rowOff>171979</xdr:rowOff>
    </xdr:from>
    <xdr:to>
      <xdr:col>3</xdr:col>
      <xdr:colOff>264583</xdr:colOff>
      <xdr:row>85</xdr:row>
      <xdr:rowOff>171979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4328584" y="16688329"/>
          <a:ext cx="412749" cy="190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250032</xdr:colOff>
      <xdr:row>50</xdr:row>
      <xdr:rowOff>99483</xdr:rowOff>
    </xdr:from>
    <xdr:to>
      <xdr:col>8</xdr:col>
      <xdr:colOff>349250</xdr:colOff>
      <xdr:row>58</xdr:row>
      <xdr:rowOff>119062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9908382" y="9910233"/>
          <a:ext cx="99218" cy="154357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232834</xdr:colOff>
      <xdr:row>84</xdr:row>
      <xdr:rowOff>148167</xdr:rowOff>
    </xdr:from>
    <xdr:to>
      <xdr:col>3</xdr:col>
      <xdr:colOff>264583</xdr:colOff>
      <xdr:row>85</xdr:row>
      <xdr:rowOff>148167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4328584" y="16664517"/>
          <a:ext cx="412749" cy="190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243415</xdr:colOff>
      <xdr:row>131</xdr:row>
      <xdr:rowOff>31750</xdr:rowOff>
    </xdr:from>
    <xdr:to>
      <xdr:col>8</xdr:col>
      <xdr:colOff>370416</xdr:colOff>
      <xdr:row>133</xdr:row>
      <xdr:rowOff>124887</xdr:rowOff>
    </xdr:to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9901765" y="25958800"/>
          <a:ext cx="127001" cy="474137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2144842</xdr:colOff>
      <xdr:row>36</xdr:row>
      <xdr:rowOff>40072</xdr:rowOff>
    </xdr:from>
    <xdr:to>
      <xdr:col>5</xdr:col>
      <xdr:colOff>2324842</xdr:colOff>
      <xdr:row>36</xdr:row>
      <xdr:rowOff>220072</xdr:rowOff>
    </xdr:to>
    <xdr:sp macro="" textlink="">
      <xdr:nvSpPr>
        <xdr:cNvPr id="7" name="6 Elipse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315556" y="8286001"/>
          <a:ext cx="180000" cy="180000"/>
        </a:xfrm>
        <a:prstGeom prst="ellipse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2149081</xdr:colOff>
      <xdr:row>35</xdr:row>
      <xdr:rowOff>33721</xdr:rowOff>
    </xdr:from>
    <xdr:to>
      <xdr:col>5</xdr:col>
      <xdr:colOff>2329081</xdr:colOff>
      <xdr:row>35</xdr:row>
      <xdr:rowOff>213721</xdr:rowOff>
    </xdr:to>
    <xdr:sp macro="" textlink="">
      <xdr:nvSpPr>
        <xdr:cNvPr id="8" name="7 Elipse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319795" y="8048328"/>
          <a:ext cx="180000" cy="180000"/>
        </a:xfrm>
        <a:prstGeom prst="ellipse">
          <a:avLst/>
        </a:prstGeom>
        <a:solidFill>
          <a:srgbClr val="FFC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2142734</xdr:colOff>
      <xdr:row>34</xdr:row>
      <xdr:rowOff>27370</xdr:rowOff>
    </xdr:from>
    <xdr:to>
      <xdr:col>5</xdr:col>
      <xdr:colOff>2322734</xdr:colOff>
      <xdr:row>34</xdr:row>
      <xdr:rowOff>207370</xdr:rowOff>
    </xdr:to>
    <xdr:sp macro="" textlink="">
      <xdr:nvSpPr>
        <xdr:cNvPr id="9" name="8 Elipse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7313448" y="7810656"/>
          <a:ext cx="180000" cy="180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232834</xdr:colOff>
      <xdr:row>84</xdr:row>
      <xdr:rowOff>183885</xdr:rowOff>
    </xdr:from>
    <xdr:to>
      <xdr:col>3</xdr:col>
      <xdr:colOff>264583</xdr:colOff>
      <xdr:row>85</xdr:row>
      <xdr:rowOff>183885</xdr:rowOff>
    </xdr:to>
    <xdr:sp macro="" textlink="">
      <xdr:nvSpPr>
        <xdr:cNvPr id="10" name="9 Rectángul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4328584" y="16700235"/>
          <a:ext cx="412749" cy="190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214882</xdr:colOff>
      <xdr:row>51</xdr:row>
      <xdr:rowOff>23811</xdr:rowOff>
    </xdr:from>
    <xdr:to>
      <xdr:col>3</xdr:col>
      <xdr:colOff>321468</xdr:colOff>
      <xdr:row>64</xdr:row>
      <xdr:rowOff>0</xdr:rowOff>
    </xdr:to>
    <xdr:sp macro="" textlink="">
      <xdr:nvSpPr>
        <xdr:cNvPr id="11" name="10 Rectángulo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4691632" y="10025061"/>
          <a:ext cx="106586" cy="245268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250032</xdr:colOff>
      <xdr:row>50</xdr:row>
      <xdr:rowOff>99483</xdr:rowOff>
    </xdr:from>
    <xdr:to>
      <xdr:col>8</xdr:col>
      <xdr:colOff>349250</xdr:colOff>
      <xdr:row>58</xdr:row>
      <xdr:rowOff>119062</xdr:rowOff>
    </xdr:to>
    <xdr:sp macro="" textlink="">
      <xdr:nvSpPr>
        <xdr:cNvPr id="12" name="11 Rectángulo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9908382" y="9910233"/>
          <a:ext cx="99218" cy="154357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17317</xdr:colOff>
      <xdr:row>8</xdr:row>
      <xdr:rowOff>53223</xdr:rowOff>
    </xdr:from>
    <xdr:to>
      <xdr:col>3</xdr:col>
      <xdr:colOff>161317</xdr:colOff>
      <xdr:row>8</xdr:row>
      <xdr:rowOff>197223</xdr:rowOff>
    </xdr:to>
    <xdr:sp macro="" textlink="">
      <xdr:nvSpPr>
        <xdr:cNvPr id="13" name="12 Elipse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4494067" y="1822152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24986</xdr:colOff>
      <xdr:row>11</xdr:row>
      <xdr:rowOff>38627</xdr:rowOff>
    </xdr:from>
    <xdr:to>
      <xdr:col>3</xdr:col>
      <xdr:colOff>168986</xdr:colOff>
      <xdr:row>11</xdr:row>
      <xdr:rowOff>182627</xdr:rowOff>
    </xdr:to>
    <xdr:sp macro="" textlink="">
      <xdr:nvSpPr>
        <xdr:cNvPr id="14" name="13 Elipse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4501736" y="2501520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27708</xdr:colOff>
      <xdr:row>13</xdr:row>
      <xdr:rowOff>45060</xdr:rowOff>
    </xdr:from>
    <xdr:to>
      <xdr:col>3</xdr:col>
      <xdr:colOff>171708</xdr:colOff>
      <xdr:row>13</xdr:row>
      <xdr:rowOff>189060</xdr:rowOff>
    </xdr:to>
    <xdr:sp macro="" textlink="">
      <xdr:nvSpPr>
        <xdr:cNvPr id="15" name="14 Elipse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4504458" y="2970596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25481</xdr:colOff>
      <xdr:row>14</xdr:row>
      <xdr:rowOff>47782</xdr:rowOff>
    </xdr:from>
    <xdr:to>
      <xdr:col>3</xdr:col>
      <xdr:colOff>169481</xdr:colOff>
      <xdr:row>14</xdr:row>
      <xdr:rowOff>191782</xdr:rowOff>
    </xdr:to>
    <xdr:sp macro="" textlink="">
      <xdr:nvSpPr>
        <xdr:cNvPr id="16" name="15 Elipse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4502231" y="3204639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28202</xdr:colOff>
      <xdr:row>15</xdr:row>
      <xdr:rowOff>50503</xdr:rowOff>
    </xdr:from>
    <xdr:to>
      <xdr:col>3</xdr:col>
      <xdr:colOff>172202</xdr:colOff>
      <xdr:row>15</xdr:row>
      <xdr:rowOff>194503</xdr:rowOff>
    </xdr:to>
    <xdr:sp macro="" textlink="">
      <xdr:nvSpPr>
        <xdr:cNvPr id="17" name="16 Elipse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4504952" y="3438682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30924</xdr:colOff>
      <xdr:row>16</xdr:row>
      <xdr:rowOff>53224</xdr:rowOff>
    </xdr:from>
    <xdr:to>
      <xdr:col>3</xdr:col>
      <xdr:colOff>174924</xdr:colOff>
      <xdr:row>16</xdr:row>
      <xdr:rowOff>197224</xdr:rowOff>
    </xdr:to>
    <xdr:sp macro="" textlink="">
      <xdr:nvSpPr>
        <xdr:cNvPr id="18" name="17 Elipse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4507674" y="3672724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33646</xdr:colOff>
      <xdr:row>17</xdr:row>
      <xdr:rowOff>55946</xdr:rowOff>
    </xdr:from>
    <xdr:to>
      <xdr:col>3</xdr:col>
      <xdr:colOff>177646</xdr:colOff>
      <xdr:row>17</xdr:row>
      <xdr:rowOff>199946</xdr:rowOff>
    </xdr:to>
    <xdr:sp macro="" textlink="">
      <xdr:nvSpPr>
        <xdr:cNvPr id="19" name="18 Elipse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4510396" y="3906767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31419</xdr:colOff>
      <xdr:row>18</xdr:row>
      <xdr:rowOff>36401</xdr:rowOff>
    </xdr:from>
    <xdr:to>
      <xdr:col>3</xdr:col>
      <xdr:colOff>175419</xdr:colOff>
      <xdr:row>18</xdr:row>
      <xdr:rowOff>180401</xdr:rowOff>
    </xdr:to>
    <xdr:sp macro="" textlink="">
      <xdr:nvSpPr>
        <xdr:cNvPr id="20" name="19 Elipse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4508169" y="4118544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30429</xdr:colOff>
      <xdr:row>19</xdr:row>
      <xdr:rowOff>47781</xdr:rowOff>
    </xdr:from>
    <xdr:to>
      <xdr:col>3</xdr:col>
      <xdr:colOff>174429</xdr:colOff>
      <xdr:row>19</xdr:row>
      <xdr:rowOff>191781</xdr:rowOff>
    </xdr:to>
    <xdr:sp macro="" textlink="">
      <xdr:nvSpPr>
        <xdr:cNvPr id="21" name="20 Elipse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4507179" y="4361245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28202</xdr:colOff>
      <xdr:row>20</xdr:row>
      <xdr:rowOff>50503</xdr:rowOff>
    </xdr:from>
    <xdr:to>
      <xdr:col>3</xdr:col>
      <xdr:colOff>172202</xdr:colOff>
      <xdr:row>20</xdr:row>
      <xdr:rowOff>194503</xdr:rowOff>
    </xdr:to>
    <xdr:sp macro="" textlink="">
      <xdr:nvSpPr>
        <xdr:cNvPr id="22" name="21 Elipse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/>
      </xdr:nvSpPr>
      <xdr:spPr>
        <a:xfrm>
          <a:off x="4504952" y="4595289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30924</xdr:colOff>
      <xdr:row>23</xdr:row>
      <xdr:rowOff>48276</xdr:rowOff>
    </xdr:from>
    <xdr:to>
      <xdr:col>3</xdr:col>
      <xdr:colOff>174924</xdr:colOff>
      <xdr:row>23</xdr:row>
      <xdr:rowOff>192276</xdr:rowOff>
    </xdr:to>
    <xdr:sp macro="" textlink="">
      <xdr:nvSpPr>
        <xdr:cNvPr id="23" name="22 Elipse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/>
      </xdr:nvSpPr>
      <xdr:spPr>
        <a:xfrm>
          <a:off x="4507674" y="5287026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28697</xdr:colOff>
      <xdr:row>28</xdr:row>
      <xdr:rowOff>60894</xdr:rowOff>
    </xdr:from>
    <xdr:to>
      <xdr:col>3</xdr:col>
      <xdr:colOff>172697</xdr:colOff>
      <xdr:row>28</xdr:row>
      <xdr:rowOff>204894</xdr:rowOff>
    </xdr:to>
    <xdr:sp macro="" textlink="">
      <xdr:nvSpPr>
        <xdr:cNvPr id="24" name="23 Elipse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>
        <a:xfrm>
          <a:off x="4505447" y="6456251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31419</xdr:colOff>
      <xdr:row>29</xdr:row>
      <xdr:rowOff>50009</xdr:rowOff>
    </xdr:from>
    <xdr:to>
      <xdr:col>3</xdr:col>
      <xdr:colOff>175419</xdr:colOff>
      <xdr:row>29</xdr:row>
      <xdr:rowOff>194009</xdr:rowOff>
    </xdr:to>
    <xdr:sp macro="" textlink="">
      <xdr:nvSpPr>
        <xdr:cNvPr id="25" name="24 Elipse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/>
      </xdr:nvSpPr>
      <xdr:spPr>
        <a:xfrm>
          <a:off x="4508169" y="6676688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25483</xdr:colOff>
      <xdr:row>32</xdr:row>
      <xdr:rowOff>39086</xdr:rowOff>
    </xdr:from>
    <xdr:to>
      <xdr:col>3</xdr:col>
      <xdr:colOff>169483</xdr:colOff>
      <xdr:row>32</xdr:row>
      <xdr:rowOff>183086</xdr:rowOff>
    </xdr:to>
    <xdr:sp macro="" textlink="">
      <xdr:nvSpPr>
        <xdr:cNvPr id="26" name="25 Elipse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/>
      </xdr:nvSpPr>
      <xdr:spPr>
        <a:xfrm>
          <a:off x="4502233" y="7359729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28204</xdr:colOff>
      <xdr:row>33</xdr:row>
      <xdr:rowOff>31912</xdr:rowOff>
    </xdr:from>
    <xdr:to>
      <xdr:col>3</xdr:col>
      <xdr:colOff>172204</xdr:colOff>
      <xdr:row>33</xdr:row>
      <xdr:rowOff>175912</xdr:rowOff>
    </xdr:to>
    <xdr:sp macro="" textlink="">
      <xdr:nvSpPr>
        <xdr:cNvPr id="27" name="26 Elipse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/>
      </xdr:nvSpPr>
      <xdr:spPr>
        <a:xfrm>
          <a:off x="4504954" y="7583876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30925</xdr:colOff>
      <xdr:row>34</xdr:row>
      <xdr:rowOff>39580</xdr:rowOff>
    </xdr:from>
    <xdr:to>
      <xdr:col>3</xdr:col>
      <xdr:colOff>174925</xdr:colOff>
      <xdr:row>34</xdr:row>
      <xdr:rowOff>183580</xdr:rowOff>
    </xdr:to>
    <xdr:sp macro="" textlink="">
      <xdr:nvSpPr>
        <xdr:cNvPr id="28" name="27 Elipse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/>
      </xdr:nvSpPr>
      <xdr:spPr>
        <a:xfrm>
          <a:off x="4507675" y="7822866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33647</xdr:colOff>
      <xdr:row>35</xdr:row>
      <xdr:rowOff>38220</xdr:rowOff>
    </xdr:from>
    <xdr:to>
      <xdr:col>3</xdr:col>
      <xdr:colOff>177647</xdr:colOff>
      <xdr:row>35</xdr:row>
      <xdr:rowOff>182220</xdr:rowOff>
    </xdr:to>
    <xdr:sp macro="" textlink="">
      <xdr:nvSpPr>
        <xdr:cNvPr id="29" name="28 Elipse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/>
      </xdr:nvSpPr>
      <xdr:spPr>
        <a:xfrm>
          <a:off x="4510397" y="8052827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27710</xdr:colOff>
      <xdr:row>36</xdr:row>
      <xdr:rowOff>40942</xdr:rowOff>
    </xdr:from>
    <xdr:to>
      <xdr:col>3</xdr:col>
      <xdr:colOff>171710</xdr:colOff>
      <xdr:row>36</xdr:row>
      <xdr:rowOff>184942</xdr:rowOff>
    </xdr:to>
    <xdr:sp macro="" textlink="">
      <xdr:nvSpPr>
        <xdr:cNvPr id="30" name="29 Elipse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/>
      </xdr:nvSpPr>
      <xdr:spPr>
        <a:xfrm>
          <a:off x="4504460" y="8286871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30927</xdr:colOff>
      <xdr:row>38</xdr:row>
      <xdr:rowOff>35862</xdr:rowOff>
    </xdr:from>
    <xdr:to>
      <xdr:col>3</xdr:col>
      <xdr:colOff>174927</xdr:colOff>
      <xdr:row>38</xdr:row>
      <xdr:rowOff>179862</xdr:rowOff>
    </xdr:to>
    <xdr:sp macro="" textlink="">
      <xdr:nvSpPr>
        <xdr:cNvPr id="31" name="30 Elipse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/>
      </xdr:nvSpPr>
      <xdr:spPr>
        <a:xfrm>
          <a:off x="4507677" y="8744433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33648</xdr:colOff>
      <xdr:row>39</xdr:row>
      <xdr:rowOff>55901</xdr:rowOff>
    </xdr:from>
    <xdr:to>
      <xdr:col>3</xdr:col>
      <xdr:colOff>177648</xdr:colOff>
      <xdr:row>39</xdr:row>
      <xdr:rowOff>199901</xdr:rowOff>
    </xdr:to>
    <xdr:sp macro="" textlink="">
      <xdr:nvSpPr>
        <xdr:cNvPr id="32" name="31 Elipse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/>
      </xdr:nvSpPr>
      <xdr:spPr>
        <a:xfrm>
          <a:off x="4510398" y="8995794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22763</xdr:colOff>
      <xdr:row>40</xdr:row>
      <xdr:rowOff>58622</xdr:rowOff>
    </xdr:from>
    <xdr:to>
      <xdr:col>3</xdr:col>
      <xdr:colOff>166763</xdr:colOff>
      <xdr:row>40</xdr:row>
      <xdr:rowOff>202622</xdr:rowOff>
    </xdr:to>
    <xdr:sp macro="" textlink="">
      <xdr:nvSpPr>
        <xdr:cNvPr id="33" name="32 Elipse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/>
      </xdr:nvSpPr>
      <xdr:spPr>
        <a:xfrm>
          <a:off x="4499513" y="9229836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25485</xdr:colOff>
      <xdr:row>41</xdr:row>
      <xdr:rowOff>47737</xdr:rowOff>
    </xdr:from>
    <xdr:to>
      <xdr:col>3</xdr:col>
      <xdr:colOff>169485</xdr:colOff>
      <xdr:row>41</xdr:row>
      <xdr:rowOff>191737</xdr:rowOff>
    </xdr:to>
    <xdr:sp macro="" textlink="">
      <xdr:nvSpPr>
        <xdr:cNvPr id="34" name="33 Elipse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/>
      </xdr:nvSpPr>
      <xdr:spPr>
        <a:xfrm>
          <a:off x="4502235" y="9450273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24990</xdr:colOff>
      <xdr:row>8</xdr:row>
      <xdr:rowOff>52191</xdr:rowOff>
    </xdr:from>
    <xdr:to>
      <xdr:col>8</xdr:col>
      <xdr:colOff>168990</xdr:colOff>
      <xdr:row>8</xdr:row>
      <xdr:rowOff>196191</xdr:rowOff>
    </xdr:to>
    <xdr:sp macro="" textlink="">
      <xdr:nvSpPr>
        <xdr:cNvPr id="35" name="34 Elipse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/>
      </xdr:nvSpPr>
      <xdr:spPr>
        <a:xfrm>
          <a:off x="9672454" y="1821120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27711</xdr:colOff>
      <xdr:row>9</xdr:row>
      <xdr:rowOff>49964</xdr:rowOff>
    </xdr:from>
    <xdr:to>
      <xdr:col>8</xdr:col>
      <xdr:colOff>171711</xdr:colOff>
      <xdr:row>9</xdr:row>
      <xdr:rowOff>193964</xdr:rowOff>
    </xdr:to>
    <xdr:sp macro="" textlink="">
      <xdr:nvSpPr>
        <xdr:cNvPr id="36" name="35 Elipse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/>
      </xdr:nvSpPr>
      <xdr:spPr>
        <a:xfrm>
          <a:off x="9675175" y="2050214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25485</xdr:colOff>
      <xdr:row>10</xdr:row>
      <xdr:rowOff>52685</xdr:rowOff>
    </xdr:from>
    <xdr:to>
      <xdr:col>8</xdr:col>
      <xdr:colOff>169485</xdr:colOff>
      <xdr:row>10</xdr:row>
      <xdr:rowOff>196685</xdr:rowOff>
    </xdr:to>
    <xdr:sp macro="" textlink="">
      <xdr:nvSpPr>
        <xdr:cNvPr id="37" name="36 Elipse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/>
      </xdr:nvSpPr>
      <xdr:spPr>
        <a:xfrm>
          <a:off x="9672949" y="2284256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28207</xdr:colOff>
      <xdr:row>11</xdr:row>
      <xdr:rowOff>55407</xdr:rowOff>
    </xdr:from>
    <xdr:to>
      <xdr:col>8</xdr:col>
      <xdr:colOff>172207</xdr:colOff>
      <xdr:row>11</xdr:row>
      <xdr:rowOff>199407</xdr:rowOff>
    </xdr:to>
    <xdr:sp macro="" textlink="">
      <xdr:nvSpPr>
        <xdr:cNvPr id="38" name="37 Elipse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/>
      </xdr:nvSpPr>
      <xdr:spPr>
        <a:xfrm>
          <a:off x="9675671" y="2749621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27713</xdr:colOff>
      <xdr:row>14</xdr:row>
      <xdr:rowOff>58613</xdr:rowOff>
    </xdr:from>
    <xdr:to>
      <xdr:col>8</xdr:col>
      <xdr:colOff>171713</xdr:colOff>
      <xdr:row>14</xdr:row>
      <xdr:rowOff>202613</xdr:rowOff>
    </xdr:to>
    <xdr:sp macro="" textlink="">
      <xdr:nvSpPr>
        <xdr:cNvPr id="39" name="38 Elipse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/>
      </xdr:nvSpPr>
      <xdr:spPr>
        <a:xfrm>
          <a:off x="9675177" y="3215470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28208</xdr:colOff>
      <xdr:row>16</xdr:row>
      <xdr:rowOff>50448</xdr:rowOff>
    </xdr:from>
    <xdr:to>
      <xdr:col>8</xdr:col>
      <xdr:colOff>172208</xdr:colOff>
      <xdr:row>16</xdr:row>
      <xdr:rowOff>194448</xdr:rowOff>
    </xdr:to>
    <xdr:sp macro="" textlink="">
      <xdr:nvSpPr>
        <xdr:cNvPr id="40" name="39 Elipse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/>
      </xdr:nvSpPr>
      <xdr:spPr>
        <a:xfrm>
          <a:off x="9675672" y="3669948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30930</xdr:colOff>
      <xdr:row>17</xdr:row>
      <xdr:rowOff>53170</xdr:rowOff>
    </xdr:from>
    <xdr:to>
      <xdr:col>8</xdr:col>
      <xdr:colOff>174930</xdr:colOff>
      <xdr:row>17</xdr:row>
      <xdr:rowOff>197170</xdr:rowOff>
    </xdr:to>
    <xdr:sp macro="" textlink="">
      <xdr:nvSpPr>
        <xdr:cNvPr id="41" name="40 Elipse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/>
      </xdr:nvSpPr>
      <xdr:spPr>
        <a:xfrm>
          <a:off x="9678394" y="3903991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32288</xdr:colOff>
      <xdr:row>20</xdr:row>
      <xdr:rowOff>68149</xdr:rowOff>
    </xdr:from>
    <xdr:to>
      <xdr:col>8</xdr:col>
      <xdr:colOff>176288</xdr:colOff>
      <xdr:row>20</xdr:row>
      <xdr:rowOff>212149</xdr:rowOff>
    </xdr:to>
    <xdr:sp macro="" textlink="">
      <xdr:nvSpPr>
        <xdr:cNvPr id="42" name="41 Elipse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/>
      </xdr:nvSpPr>
      <xdr:spPr>
        <a:xfrm>
          <a:off x="9679752" y="4612935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39091</xdr:colOff>
      <xdr:row>21</xdr:row>
      <xdr:rowOff>84477</xdr:rowOff>
    </xdr:from>
    <xdr:to>
      <xdr:col>8</xdr:col>
      <xdr:colOff>183091</xdr:colOff>
      <xdr:row>21</xdr:row>
      <xdr:rowOff>228477</xdr:rowOff>
    </xdr:to>
    <xdr:sp macro="" textlink="">
      <xdr:nvSpPr>
        <xdr:cNvPr id="43" name="42 Elipse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/>
      </xdr:nvSpPr>
      <xdr:spPr>
        <a:xfrm>
          <a:off x="9686555" y="4860584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46390</xdr:colOff>
      <xdr:row>22</xdr:row>
      <xdr:rowOff>91280</xdr:rowOff>
    </xdr:from>
    <xdr:to>
      <xdr:col>8</xdr:col>
      <xdr:colOff>190390</xdr:colOff>
      <xdr:row>23</xdr:row>
      <xdr:rowOff>3959</xdr:rowOff>
    </xdr:to>
    <xdr:sp macro="" textlink="">
      <xdr:nvSpPr>
        <xdr:cNvPr id="44" name="43 Elipse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/>
      </xdr:nvSpPr>
      <xdr:spPr>
        <a:xfrm>
          <a:off x="9693854" y="5098709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30928</xdr:colOff>
      <xdr:row>23</xdr:row>
      <xdr:rowOff>89054</xdr:rowOff>
    </xdr:from>
    <xdr:to>
      <xdr:col>8</xdr:col>
      <xdr:colOff>174928</xdr:colOff>
      <xdr:row>24</xdr:row>
      <xdr:rowOff>1733</xdr:rowOff>
    </xdr:to>
    <xdr:sp macro="" textlink="">
      <xdr:nvSpPr>
        <xdr:cNvPr id="45" name="44 Elipse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/>
      </xdr:nvSpPr>
      <xdr:spPr>
        <a:xfrm>
          <a:off x="9678392" y="5327804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33651</xdr:colOff>
      <xdr:row>24</xdr:row>
      <xdr:rowOff>28688</xdr:rowOff>
    </xdr:from>
    <xdr:to>
      <xdr:col>8</xdr:col>
      <xdr:colOff>177651</xdr:colOff>
      <xdr:row>24</xdr:row>
      <xdr:rowOff>172688</xdr:rowOff>
    </xdr:to>
    <xdr:sp macro="" textlink="">
      <xdr:nvSpPr>
        <xdr:cNvPr id="46" name="45 Elipse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/>
      </xdr:nvSpPr>
      <xdr:spPr>
        <a:xfrm>
          <a:off x="9681115" y="5498759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27715</xdr:colOff>
      <xdr:row>27</xdr:row>
      <xdr:rowOff>58619</xdr:rowOff>
    </xdr:from>
    <xdr:to>
      <xdr:col>8</xdr:col>
      <xdr:colOff>171715</xdr:colOff>
      <xdr:row>27</xdr:row>
      <xdr:rowOff>202619</xdr:rowOff>
    </xdr:to>
    <xdr:sp macro="" textlink="">
      <xdr:nvSpPr>
        <xdr:cNvPr id="47" name="46 Elipse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/>
      </xdr:nvSpPr>
      <xdr:spPr>
        <a:xfrm>
          <a:off x="9675179" y="6222655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27709</xdr:colOff>
      <xdr:row>12</xdr:row>
      <xdr:rowOff>27741</xdr:rowOff>
    </xdr:from>
    <xdr:to>
      <xdr:col>3</xdr:col>
      <xdr:colOff>171709</xdr:colOff>
      <xdr:row>12</xdr:row>
      <xdr:rowOff>171741</xdr:rowOff>
    </xdr:to>
    <xdr:sp macro="" textlink="">
      <xdr:nvSpPr>
        <xdr:cNvPr id="48" name="47 Elipse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/>
      </xdr:nvSpPr>
      <xdr:spPr>
        <a:xfrm>
          <a:off x="4504459" y="2721955"/>
          <a:ext cx="144000" cy="144000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24988</xdr:colOff>
      <xdr:row>24</xdr:row>
      <xdr:rowOff>55945</xdr:rowOff>
    </xdr:from>
    <xdr:to>
      <xdr:col>3</xdr:col>
      <xdr:colOff>168988</xdr:colOff>
      <xdr:row>24</xdr:row>
      <xdr:rowOff>199945</xdr:rowOff>
    </xdr:to>
    <xdr:sp macro="" textlink="">
      <xdr:nvSpPr>
        <xdr:cNvPr id="49" name="48 Elipse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/>
      </xdr:nvSpPr>
      <xdr:spPr>
        <a:xfrm>
          <a:off x="4501738" y="5526016"/>
          <a:ext cx="144000" cy="144000"/>
        </a:xfrm>
        <a:prstGeom prst="ellipse">
          <a:avLst/>
        </a:prstGeom>
        <a:solidFill>
          <a:srgbClr val="C00000"/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27711</xdr:colOff>
      <xdr:row>27</xdr:row>
      <xdr:rowOff>63610</xdr:rowOff>
    </xdr:from>
    <xdr:to>
      <xdr:col>3</xdr:col>
      <xdr:colOff>171711</xdr:colOff>
      <xdr:row>27</xdr:row>
      <xdr:rowOff>207610</xdr:rowOff>
    </xdr:to>
    <xdr:sp macro="" textlink="">
      <xdr:nvSpPr>
        <xdr:cNvPr id="50" name="49 Elipse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/>
      </xdr:nvSpPr>
      <xdr:spPr>
        <a:xfrm>
          <a:off x="4504461" y="6227646"/>
          <a:ext cx="144000" cy="144000"/>
        </a:xfrm>
        <a:prstGeom prst="ellipse">
          <a:avLst/>
        </a:prstGeom>
        <a:solidFill>
          <a:srgbClr val="C00000"/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25486</xdr:colOff>
      <xdr:row>37</xdr:row>
      <xdr:rowOff>39099</xdr:rowOff>
    </xdr:from>
    <xdr:to>
      <xdr:col>3</xdr:col>
      <xdr:colOff>169486</xdr:colOff>
      <xdr:row>37</xdr:row>
      <xdr:rowOff>183099</xdr:rowOff>
    </xdr:to>
    <xdr:sp macro="" textlink="">
      <xdr:nvSpPr>
        <xdr:cNvPr id="51" name="50 Elipse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/>
      </xdr:nvSpPr>
      <xdr:spPr>
        <a:xfrm>
          <a:off x="4502236" y="8516349"/>
          <a:ext cx="144000" cy="144000"/>
        </a:xfrm>
        <a:prstGeom prst="ellipse">
          <a:avLst/>
        </a:prstGeom>
        <a:solidFill>
          <a:srgbClr val="C00000"/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30432</xdr:colOff>
      <xdr:row>15</xdr:row>
      <xdr:rowOff>52725</xdr:rowOff>
    </xdr:from>
    <xdr:to>
      <xdr:col>8</xdr:col>
      <xdr:colOff>174432</xdr:colOff>
      <xdr:row>15</xdr:row>
      <xdr:rowOff>196725</xdr:rowOff>
    </xdr:to>
    <xdr:sp macro="" textlink="">
      <xdr:nvSpPr>
        <xdr:cNvPr id="52" name="51 Elipse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/>
      </xdr:nvSpPr>
      <xdr:spPr>
        <a:xfrm>
          <a:off x="9677896" y="3440904"/>
          <a:ext cx="144000" cy="144000"/>
        </a:xfrm>
        <a:prstGeom prst="ellipse">
          <a:avLst/>
        </a:prstGeom>
        <a:solidFill>
          <a:srgbClr val="C00000"/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41814</xdr:colOff>
      <xdr:row>28</xdr:row>
      <xdr:rowOff>91296</xdr:rowOff>
    </xdr:from>
    <xdr:to>
      <xdr:col>8</xdr:col>
      <xdr:colOff>185814</xdr:colOff>
      <xdr:row>29</xdr:row>
      <xdr:rowOff>3974</xdr:rowOff>
    </xdr:to>
    <xdr:sp macro="" textlink="">
      <xdr:nvSpPr>
        <xdr:cNvPr id="53" name="52 Elipse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/>
      </xdr:nvSpPr>
      <xdr:spPr>
        <a:xfrm>
          <a:off x="9689278" y="6486653"/>
          <a:ext cx="144000" cy="144000"/>
        </a:xfrm>
        <a:prstGeom prst="ellipse">
          <a:avLst/>
        </a:prstGeom>
        <a:solidFill>
          <a:srgbClr val="C00000"/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27711</xdr:colOff>
      <xdr:row>51</xdr:row>
      <xdr:rowOff>32615</xdr:rowOff>
    </xdr:from>
    <xdr:to>
      <xdr:col>3</xdr:col>
      <xdr:colOff>171711</xdr:colOff>
      <xdr:row>51</xdr:row>
      <xdr:rowOff>176615</xdr:rowOff>
    </xdr:to>
    <xdr:sp macro="" textlink="">
      <xdr:nvSpPr>
        <xdr:cNvPr id="54" name="53 Elipse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/>
      </xdr:nvSpPr>
      <xdr:spPr>
        <a:xfrm>
          <a:off x="4504461" y="11585079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25485</xdr:colOff>
      <xdr:row>52</xdr:row>
      <xdr:rowOff>39048</xdr:rowOff>
    </xdr:from>
    <xdr:to>
      <xdr:col>3</xdr:col>
      <xdr:colOff>169485</xdr:colOff>
      <xdr:row>52</xdr:row>
      <xdr:rowOff>183048</xdr:rowOff>
    </xdr:to>
    <xdr:sp macro="" textlink="">
      <xdr:nvSpPr>
        <xdr:cNvPr id="55" name="54 Elipse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/>
      </xdr:nvSpPr>
      <xdr:spPr>
        <a:xfrm>
          <a:off x="4502235" y="11822834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28702</xdr:colOff>
      <xdr:row>54</xdr:row>
      <xdr:rowOff>38545</xdr:rowOff>
    </xdr:from>
    <xdr:to>
      <xdr:col>3</xdr:col>
      <xdr:colOff>172702</xdr:colOff>
      <xdr:row>54</xdr:row>
      <xdr:rowOff>182545</xdr:rowOff>
    </xdr:to>
    <xdr:sp macro="" textlink="">
      <xdr:nvSpPr>
        <xdr:cNvPr id="56" name="55 Elipse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/>
      </xdr:nvSpPr>
      <xdr:spPr>
        <a:xfrm>
          <a:off x="4505452" y="12284974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31423</xdr:colOff>
      <xdr:row>55</xdr:row>
      <xdr:rowOff>41266</xdr:rowOff>
    </xdr:from>
    <xdr:to>
      <xdr:col>3</xdr:col>
      <xdr:colOff>175423</xdr:colOff>
      <xdr:row>55</xdr:row>
      <xdr:rowOff>185266</xdr:rowOff>
    </xdr:to>
    <xdr:sp macro="" textlink="">
      <xdr:nvSpPr>
        <xdr:cNvPr id="57" name="56 Elipse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/>
      </xdr:nvSpPr>
      <xdr:spPr>
        <a:xfrm>
          <a:off x="4508173" y="12519016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25486</xdr:colOff>
      <xdr:row>56</xdr:row>
      <xdr:rowOff>35328</xdr:rowOff>
    </xdr:from>
    <xdr:to>
      <xdr:col>3</xdr:col>
      <xdr:colOff>169486</xdr:colOff>
      <xdr:row>56</xdr:row>
      <xdr:rowOff>179328</xdr:rowOff>
    </xdr:to>
    <xdr:sp macro="" textlink="">
      <xdr:nvSpPr>
        <xdr:cNvPr id="58" name="57 Elipse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/>
      </xdr:nvSpPr>
      <xdr:spPr>
        <a:xfrm>
          <a:off x="4502236" y="12744399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28208</xdr:colOff>
      <xdr:row>57</xdr:row>
      <xdr:rowOff>41761</xdr:rowOff>
    </xdr:from>
    <xdr:to>
      <xdr:col>3</xdr:col>
      <xdr:colOff>172208</xdr:colOff>
      <xdr:row>57</xdr:row>
      <xdr:rowOff>185761</xdr:rowOff>
    </xdr:to>
    <xdr:sp macro="" textlink="">
      <xdr:nvSpPr>
        <xdr:cNvPr id="59" name="58 Elipse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/>
      </xdr:nvSpPr>
      <xdr:spPr>
        <a:xfrm>
          <a:off x="4504958" y="12982154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28208</xdr:colOff>
      <xdr:row>53</xdr:row>
      <xdr:rowOff>50428</xdr:rowOff>
    </xdr:from>
    <xdr:to>
      <xdr:col>3</xdr:col>
      <xdr:colOff>172208</xdr:colOff>
      <xdr:row>53</xdr:row>
      <xdr:rowOff>194428</xdr:rowOff>
    </xdr:to>
    <xdr:sp macro="" textlink="">
      <xdr:nvSpPr>
        <xdr:cNvPr id="60" name="59 Elipse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/>
      </xdr:nvSpPr>
      <xdr:spPr>
        <a:xfrm>
          <a:off x="4504958" y="12065535"/>
          <a:ext cx="144000" cy="144000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28204</xdr:colOff>
      <xdr:row>60</xdr:row>
      <xdr:rowOff>41437</xdr:rowOff>
    </xdr:from>
    <xdr:to>
      <xdr:col>3</xdr:col>
      <xdr:colOff>172204</xdr:colOff>
      <xdr:row>60</xdr:row>
      <xdr:rowOff>185437</xdr:rowOff>
    </xdr:to>
    <xdr:sp macro="" textlink="">
      <xdr:nvSpPr>
        <xdr:cNvPr id="61" name="60 Elipse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/>
      </xdr:nvSpPr>
      <xdr:spPr>
        <a:xfrm>
          <a:off x="4504954" y="13675794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25977</xdr:colOff>
      <xdr:row>61</xdr:row>
      <xdr:rowOff>44159</xdr:rowOff>
    </xdr:from>
    <xdr:to>
      <xdr:col>3</xdr:col>
      <xdr:colOff>169977</xdr:colOff>
      <xdr:row>61</xdr:row>
      <xdr:rowOff>188159</xdr:rowOff>
    </xdr:to>
    <xdr:sp macro="" textlink="">
      <xdr:nvSpPr>
        <xdr:cNvPr id="62" name="61 Elipse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/>
      </xdr:nvSpPr>
      <xdr:spPr>
        <a:xfrm>
          <a:off x="4502727" y="13909838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28698</xdr:colOff>
      <xdr:row>62</xdr:row>
      <xdr:rowOff>37355</xdr:rowOff>
    </xdr:from>
    <xdr:to>
      <xdr:col>3</xdr:col>
      <xdr:colOff>172698</xdr:colOff>
      <xdr:row>62</xdr:row>
      <xdr:rowOff>181355</xdr:rowOff>
    </xdr:to>
    <xdr:sp macro="" textlink="">
      <xdr:nvSpPr>
        <xdr:cNvPr id="63" name="62 Elipse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/>
      </xdr:nvSpPr>
      <xdr:spPr>
        <a:xfrm>
          <a:off x="4505448" y="14134355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22761</xdr:colOff>
      <xdr:row>63</xdr:row>
      <xdr:rowOff>40942</xdr:rowOff>
    </xdr:from>
    <xdr:to>
      <xdr:col>3</xdr:col>
      <xdr:colOff>166761</xdr:colOff>
      <xdr:row>63</xdr:row>
      <xdr:rowOff>184942</xdr:rowOff>
    </xdr:to>
    <xdr:sp macro="" textlink="">
      <xdr:nvSpPr>
        <xdr:cNvPr id="64" name="63 Elipse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/>
      </xdr:nvSpPr>
      <xdr:spPr>
        <a:xfrm>
          <a:off x="4499511" y="14369263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25483</xdr:colOff>
      <xdr:row>64</xdr:row>
      <xdr:rowOff>43664</xdr:rowOff>
    </xdr:from>
    <xdr:to>
      <xdr:col>3</xdr:col>
      <xdr:colOff>169483</xdr:colOff>
      <xdr:row>64</xdr:row>
      <xdr:rowOff>187664</xdr:rowOff>
    </xdr:to>
    <xdr:sp macro="" textlink="">
      <xdr:nvSpPr>
        <xdr:cNvPr id="65" name="64 Elipse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/>
      </xdr:nvSpPr>
      <xdr:spPr>
        <a:xfrm>
          <a:off x="4502233" y="14603307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30925</xdr:colOff>
      <xdr:row>51</xdr:row>
      <xdr:rowOff>39582</xdr:rowOff>
    </xdr:from>
    <xdr:to>
      <xdr:col>8</xdr:col>
      <xdr:colOff>174925</xdr:colOff>
      <xdr:row>51</xdr:row>
      <xdr:rowOff>183582</xdr:rowOff>
    </xdr:to>
    <xdr:sp macro="" textlink="">
      <xdr:nvSpPr>
        <xdr:cNvPr id="66" name="65 Elipse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/>
      </xdr:nvSpPr>
      <xdr:spPr>
        <a:xfrm>
          <a:off x="9678389" y="11592046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20039</xdr:colOff>
      <xdr:row>52</xdr:row>
      <xdr:rowOff>42304</xdr:rowOff>
    </xdr:from>
    <xdr:to>
      <xdr:col>8</xdr:col>
      <xdr:colOff>164039</xdr:colOff>
      <xdr:row>52</xdr:row>
      <xdr:rowOff>186304</xdr:rowOff>
    </xdr:to>
    <xdr:sp macro="" textlink="">
      <xdr:nvSpPr>
        <xdr:cNvPr id="67" name="66 Elipse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/>
      </xdr:nvSpPr>
      <xdr:spPr>
        <a:xfrm>
          <a:off x="9667503" y="11826090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22760</xdr:colOff>
      <xdr:row>53</xdr:row>
      <xdr:rowOff>36366</xdr:rowOff>
    </xdr:from>
    <xdr:to>
      <xdr:col>8</xdr:col>
      <xdr:colOff>166760</xdr:colOff>
      <xdr:row>53</xdr:row>
      <xdr:rowOff>180366</xdr:rowOff>
    </xdr:to>
    <xdr:sp macro="" textlink="">
      <xdr:nvSpPr>
        <xdr:cNvPr id="68" name="67 Elipse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/>
      </xdr:nvSpPr>
      <xdr:spPr>
        <a:xfrm>
          <a:off x="9670224" y="12051473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25482</xdr:colOff>
      <xdr:row>55</xdr:row>
      <xdr:rowOff>39087</xdr:rowOff>
    </xdr:from>
    <xdr:to>
      <xdr:col>8</xdr:col>
      <xdr:colOff>169482</xdr:colOff>
      <xdr:row>55</xdr:row>
      <xdr:rowOff>183087</xdr:rowOff>
    </xdr:to>
    <xdr:sp macro="" textlink="">
      <xdr:nvSpPr>
        <xdr:cNvPr id="69" name="68 Elipse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/>
      </xdr:nvSpPr>
      <xdr:spPr>
        <a:xfrm>
          <a:off x="9672946" y="12285516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28204</xdr:colOff>
      <xdr:row>56</xdr:row>
      <xdr:rowOff>41809</xdr:rowOff>
    </xdr:from>
    <xdr:to>
      <xdr:col>8</xdr:col>
      <xdr:colOff>172204</xdr:colOff>
      <xdr:row>56</xdr:row>
      <xdr:rowOff>185809</xdr:rowOff>
    </xdr:to>
    <xdr:sp macro="" textlink="">
      <xdr:nvSpPr>
        <xdr:cNvPr id="70" name="69 Elipse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/>
      </xdr:nvSpPr>
      <xdr:spPr>
        <a:xfrm>
          <a:off x="9675668" y="12519559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25481</xdr:colOff>
      <xdr:row>58</xdr:row>
      <xdr:rowOff>34140</xdr:rowOff>
    </xdr:from>
    <xdr:to>
      <xdr:col>8</xdr:col>
      <xdr:colOff>169481</xdr:colOff>
      <xdr:row>58</xdr:row>
      <xdr:rowOff>178140</xdr:rowOff>
    </xdr:to>
    <xdr:sp macro="" textlink="">
      <xdr:nvSpPr>
        <xdr:cNvPr id="71" name="70 Elipse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/>
      </xdr:nvSpPr>
      <xdr:spPr>
        <a:xfrm>
          <a:off x="9672945" y="12974533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28203</xdr:colOff>
      <xdr:row>59</xdr:row>
      <xdr:rowOff>36861</xdr:rowOff>
    </xdr:from>
    <xdr:to>
      <xdr:col>8</xdr:col>
      <xdr:colOff>172203</xdr:colOff>
      <xdr:row>59</xdr:row>
      <xdr:rowOff>180861</xdr:rowOff>
    </xdr:to>
    <xdr:sp macro="" textlink="">
      <xdr:nvSpPr>
        <xdr:cNvPr id="72" name="71 Elipse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/>
      </xdr:nvSpPr>
      <xdr:spPr>
        <a:xfrm>
          <a:off x="9675667" y="13208575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30925</xdr:colOff>
      <xdr:row>60</xdr:row>
      <xdr:rowOff>39583</xdr:rowOff>
    </xdr:from>
    <xdr:to>
      <xdr:col>8</xdr:col>
      <xdr:colOff>174925</xdr:colOff>
      <xdr:row>60</xdr:row>
      <xdr:rowOff>183583</xdr:rowOff>
    </xdr:to>
    <xdr:sp macro="" textlink="">
      <xdr:nvSpPr>
        <xdr:cNvPr id="73" name="72 Elipse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/>
      </xdr:nvSpPr>
      <xdr:spPr>
        <a:xfrm>
          <a:off x="9678389" y="13442619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25979</xdr:colOff>
      <xdr:row>57</xdr:row>
      <xdr:rowOff>39582</xdr:rowOff>
    </xdr:from>
    <xdr:to>
      <xdr:col>8</xdr:col>
      <xdr:colOff>169979</xdr:colOff>
      <xdr:row>57</xdr:row>
      <xdr:rowOff>183582</xdr:rowOff>
    </xdr:to>
    <xdr:sp macro="" textlink="">
      <xdr:nvSpPr>
        <xdr:cNvPr id="74" name="73 Elipse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/>
      </xdr:nvSpPr>
      <xdr:spPr>
        <a:xfrm>
          <a:off x="9673443" y="12748653"/>
          <a:ext cx="144000" cy="144000"/>
        </a:xfrm>
        <a:prstGeom prst="ellipse">
          <a:avLst/>
        </a:prstGeom>
        <a:solidFill>
          <a:srgbClr val="C00000"/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22760</xdr:colOff>
      <xdr:row>77</xdr:row>
      <xdr:rowOff>40943</xdr:rowOff>
    </xdr:from>
    <xdr:to>
      <xdr:col>3</xdr:col>
      <xdr:colOff>166760</xdr:colOff>
      <xdr:row>77</xdr:row>
      <xdr:rowOff>184943</xdr:rowOff>
    </xdr:to>
    <xdr:sp macro="" textlink="">
      <xdr:nvSpPr>
        <xdr:cNvPr id="75" name="74 Elipse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/>
      </xdr:nvSpPr>
      <xdr:spPr>
        <a:xfrm>
          <a:off x="4499510" y="17580550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25482</xdr:colOff>
      <xdr:row>78</xdr:row>
      <xdr:rowOff>43664</xdr:rowOff>
    </xdr:from>
    <xdr:to>
      <xdr:col>3</xdr:col>
      <xdr:colOff>169482</xdr:colOff>
      <xdr:row>78</xdr:row>
      <xdr:rowOff>187664</xdr:rowOff>
    </xdr:to>
    <xdr:sp macro="" textlink="">
      <xdr:nvSpPr>
        <xdr:cNvPr id="76" name="75 Elipse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/>
      </xdr:nvSpPr>
      <xdr:spPr>
        <a:xfrm>
          <a:off x="4502232" y="17814593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28204</xdr:colOff>
      <xdr:row>79</xdr:row>
      <xdr:rowOff>36861</xdr:rowOff>
    </xdr:from>
    <xdr:to>
      <xdr:col>3</xdr:col>
      <xdr:colOff>172204</xdr:colOff>
      <xdr:row>79</xdr:row>
      <xdr:rowOff>180861</xdr:rowOff>
    </xdr:to>
    <xdr:sp macro="" textlink="">
      <xdr:nvSpPr>
        <xdr:cNvPr id="77" name="76 Elipse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SpPr/>
      </xdr:nvSpPr>
      <xdr:spPr>
        <a:xfrm>
          <a:off x="4504954" y="18039111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28205</xdr:colOff>
      <xdr:row>82</xdr:row>
      <xdr:rowOff>46750</xdr:rowOff>
    </xdr:from>
    <xdr:to>
      <xdr:col>3</xdr:col>
      <xdr:colOff>172205</xdr:colOff>
      <xdr:row>82</xdr:row>
      <xdr:rowOff>190750</xdr:rowOff>
    </xdr:to>
    <xdr:sp macro="" textlink="">
      <xdr:nvSpPr>
        <xdr:cNvPr id="78" name="77 Elipse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/>
      </xdr:nvSpPr>
      <xdr:spPr>
        <a:xfrm>
          <a:off x="4504955" y="18742964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30927</xdr:colOff>
      <xdr:row>83</xdr:row>
      <xdr:rowOff>63079</xdr:rowOff>
    </xdr:from>
    <xdr:to>
      <xdr:col>3</xdr:col>
      <xdr:colOff>174927</xdr:colOff>
      <xdr:row>83</xdr:row>
      <xdr:rowOff>207079</xdr:rowOff>
    </xdr:to>
    <xdr:sp macro="" textlink="">
      <xdr:nvSpPr>
        <xdr:cNvPr id="79" name="78 Elipse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/>
      </xdr:nvSpPr>
      <xdr:spPr>
        <a:xfrm>
          <a:off x="4507677" y="18990615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25980</xdr:colOff>
      <xdr:row>90</xdr:row>
      <xdr:rowOff>49457</xdr:rowOff>
    </xdr:from>
    <xdr:to>
      <xdr:col>3</xdr:col>
      <xdr:colOff>169980</xdr:colOff>
      <xdr:row>90</xdr:row>
      <xdr:rowOff>193457</xdr:rowOff>
    </xdr:to>
    <xdr:sp macro="" textlink="">
      <xdr:nvSpPr>
        <xdr:cNvPr id="80" name="79 Elipse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/>
      </xdr:nvSpPr>
      <xdr:spPr>
        <a:xfrm>
          <a:off x="4502730" y="20596243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28702</xdr:colOff>
      <xdr:row>91</xdr:row>
      <xdr:rowOff>52179</xdr:rowOff>
    </xdr:from>
    <xdr:to>
      <xdr:col>3</xdr:col>
      <xdr:colOff>172702</xdr:colOff>
      <xdr:row>91</xdr:row>
      <xdr:rowOff>196179</xdr:rowOff>
    </xdr:to>
    <xdr:sp macro="" textlink="">
      <xdr:nvSpPr>
        <xdr:cNvPr id="81" name="80 Elipse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/>
      </xdr:nvSpPr>
      <xdr:spPr>
        <a:xfrm>
          <a:off x="4505452" y="20830286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22766</xdr:colOff>
      <xdr:row>94</xdr:row>
      <xdr:rowOff>68132</xdr:rowOff>
    </xdr:from>
    <xdr:to>
      <xdr:col>3</xdr:col>
      <xdr:colOff>166766</xdr:colOff>
      <xdr:row>94</xdr:row>
      <xdr:rowOff>212132</xdr:rowOff>
    </xdr:to>
    <xdr:sp macro="" textlink="">
      <xdr:nvSpPr>
        <xdr:cNvPr id="82" name="81 Elipse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/>
      </xdr:nvSpPr>
      <xdr:spPr>
        <a:xfrm>
          <a:off x="4499516" y="21540203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24991</xdr:colOff>
      <xdr:row>97</xdr:row>
      <xdr:rowOff>60466</xdr:rowOff>
    </xdr:from>
    <xdr:to>
      <xdr:col>3</xdr:col>
      <xdr:colOff>168991</xdr:colOff>
      <xdr:row>97</xdr:row>
      <xdr:rowOff>204466</xdr:rowOff>
    </xdr:to>
    <xdr:sp macro="" textlink="">
      <xdr:nvSpPr>
        <xdr:cNvPr id="83" name="82 Elipse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/>
      </xdr:nvSpPr>
      <xdr:spPr>
        <a:xfrm>
          <a:off x="4501741" y="22226502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31424</xdr:colOff>
      <xdr:row>98</xdr:row>
      <xdr:rowOff>63559</xdr:rowOff>
    </xdr:from>
    <xdr:to>
      <xdr:col>3</xdr:col>
      <xdr:colOff>175424</xdr:colOff>
      <xdr:row>98</xdr:row>
      <xdr:rowOff>207559</xdr:rowOff>
    </xdr:to>
    <xdr:sp macro="" textlink="">
      <xdr:nvSpPr>
        <xdr:cNvPr id="84" name="83 Elipse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/>
      </xdr:nvSpPr>
      <xdr:spPr>
        <a:xfrm>
          <a:off x="4508174" y="22460916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25488</xdr:colOff>
      <xdr:row>77</xdr:row>
      <xdr:rowOff>34114</xdr:rowOff>
    </xdr:from>
    <xdr:to>
      <xdr:col>8</xdr:col>
      <xdr:colOff>169488</xdr:colOff>
      <xdr:row>77</xdr:row>
      <xdr:rowOff>178114</xdr:rowOff>
    </xdr:to>
    <xdr:sp macro="" textlink="">
      <xdr:nvSpPr>
        <xdr:cNvPr id="85" name="84 Elipse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SpPr/>
      </xdr:nvSpPr>
      <xdr:spPr>
        <a:xfrm>
          <a:off x="9672952" y="17573721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31425</xdr:colOff>
      <xdr:row>80</xdr:row>
      <xdr:rowOff>41280</xdr:rowOff>
    </xdr:from>
    <xdr:to>
      <xdr:col>8</xdr:col>
      <xdr:colOff>175425</xdr:colOff>
      <xdr:row>80</xdr:row>
      <xdr:rowOff>185280</xdr:rowOff>
    </xdr:to>
    <xdr:sp macro="" textlink="">
      <xdr:nvSpPr>
        <xdr:cNvPr id="86" name="85 Elipse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SpPr/>
      </xdr:nvSpPr>
      <xdr:spPr>
        <a:xfrm>
          <a:off x="9678889" y="18274851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34147</xdr:colOff>
      <xdr:row>81</xdr:row>
      <xdr:rowOff>44868</xdr:rowOff>
    </xdr:from>
    <xdr:to>
      <xdr:col>8</xdr:col>
      <xdr:colOff>178147</xdr:colOff>
      <xdr:row>81</xdr:row>
      <xdr:rowOff>188868</xdr:rowOff>
    </xdr:to>
    <xdr:sp macro="" textlink="">
      <xdr:nvSpPr>
        <xdr:cNvPr id="87" name="86 Elipse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SpPr/>
      </xdr:nvSpPr>
      <xdr:spPr>
        <a:xfrm>
          <a:off x="9681611" y="18509761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28206</xdr:colOff>
      <xdr:row>86</xdr:row>
      <xdr:rowOff>62289</xdr:rowOff>
    </xdr:from>
    <xdr:to>
      <xdr:col>3</xdr:col>
      <xdr:colOff>172206</xdr:colOff>
      <xdr:row>86</xdr:row>
      <xdr:rowOff>206289</xdr:rowOff>
    </xdr:to>
    <xdr:sp macro="" textlink="">
      <xdr:nvSpPr>
        <xdr:cNvPr id="88" name="87 Elipse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SpPr/>
      </xdr:nvSpPr>
      <xdr:spPr>
        <a:xfrm>
          <a:off x="4504956" y="19683789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30927</xdr:colOff>
      <xdr:row>107</xdr:row>
      <xdr:rowOff>36352</xdr:rowOff>
    </xdr:from>
    <xdr:to>
      <xdr:col>3</xdr:col>
      <xdr:colOff>174927</xdr:colOff>
      <xdr:row>107</xdr:row>
      <xdr:rowOff>180352</xdr:rowOff>
    </xdr:to>
    <xdr:sp macro="" textlink="">
      <xdr:nvSpPr>
        <xdr:cNvPr id="89" name="88 Elipse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SpPr/>
      </xdr:nvSpPr>
      <xdr:spPr>
        <a:xfrm>
          <a:off x="4507677" y="24488388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28701</xdr:colOff>
      <xdr:row>110</xdr:row>
      <xdr:rowOff>39070</xdr:rowOff>
    </xdr:from>
    <xdr:to>
      <xdr:col>3</xdr:col>
      <xdr:colOff>172701</xdr:colOff>
      <xdr:row>110</xdr:row>
      <xdr:rowOff>183070</xdr:rowOff>
    </xdr:to>
    <xdr:sp macro="" textlink="">
      <xdr:nvSpPr>
        <xdr:cNvPr id="90" name="89 Elipse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SpPr/>
      </xdr:nvSpPr>
      <xdr:spPr>
        <a:xfrm>
          <a:off x="4505451" y="25185070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22765</xdr:colOff>
      <xdr:row>114</xdr:row>
      <xdr:rowOff>42651</xdr:rowOff>
    </xdr:from>
    <xdr:to>
      <xdr:col>3</xdr:col>
      <xdr:colOff>166765</xdr:colOff>
      <xdr:row>114</xdr:row>
      <xdr:rowOff>186651</xdr:rowOff>
    </xdr:to>
    <xdr:sp macro="" textlink="">
      <xdr:nvSpPr>
        <xdr:cNvPr id="91" name="90 Elipse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SpPr/>
      </xdr:nvSpPr>
      <xdr:spPr>
        <a:xfrm>
          <a:off x="4499515" y="26113937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25488</xdr:colOff>
      <xdr:row>115</xdr:row>
      <xdr:rowOff>39558</xdr:rowOff>
    </xdr:from>
    <xdr:to>
      <xdr:col>3</xdr:col>
      <xdr:colOff>169488</xdr:colOff>
      <xdr:row>115</xdr:row>
      <xdr:rowOff>183558</xdr:rowOff>
    </xdr:to>
    <xdr:sp macro="" textlink="">
      <xdr:nvSpPr>
        <xdr:cNvPr id="92" name="91 Elipse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SpPr/>
      </xdr:nvSpPr>
      <xdr:spPr>
        <a:xfrm>
          <a:off x="4502238" y="26342165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27713</xdr:colOff>
      <xdr:row>113</xdr:row>
      <xdr:rowOff>36839</xdr:rowOff>
    </xdr:from>
    <xdr:to>
      <xdr:col>3</xdr:col>
      <xdr:colOff>171713</xdr:colOff>
      <xdr:row>113</xdr:row>
      <xdr:rowOff>180839</xdr:rowOff>
    </xdr:to>
    <xdr:sp macro="" textlink="">
      <xdr:nvSpPr>
        <xdr:cNvPr id="93" name="92 Elipse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SpPr/>
      </xdr:nvSpPr>
      <xdr:spPr>
        <a:xfrm>
          <a:off x="4504463" y="25876803"/>
          <a:ext cx="144000" cy="144000"/>
        </a:xfrm>
        <a:prstGeom prst="ellipse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22764</xdr:colOff>
      <xdr:row>107</xdr:row>
      <xdr:rowOff>36343</xdr:rowOff>
    </xdr:from>
    <xdr:to>
      <xdr:col>8</xdr:col>
      <xdr:colOff>166764</xdr:colOff>
      <xdr:row>107</xdr:row>
      <xdr:rowOff>180343</xdr:rowOff>
    </xdr:to>
    <xdr:sp macro="" textlink="">
      <xdr:nvSpPr>
        <xdr:cNvPr id="94" name="93 Elipse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SpPr/>
      </xdr:nvSpPr>
      <xdr:spPr>
        <a:xfrm>
          <a:off x="9670228" y="24488379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25486</xdr:colOff>
      <xdr:row>108</xdr:row>
      <xdr:rowOff>39065</xdr:rowOff>
    </xdr:from>
    <xdr:to>
      <xdr:col>8</xdr:col>
      <xdr:colOff>169486</xdr:colOff>
      <xdr:row>108</xdr:row>
      <xdr:rowOff>183065</xdr:rowOff>
    </xdr:to>
    <xdr:sp macro="" textlink="">
      <xdr:nvSpPr>
        <xdr:cNvPr id="95" name="94 Elipse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SpPr/>
      </xdr:nvSpPr>
      <xdr:spPr>
        <a:xfrm>
          <a:off x="9672950" y="24722422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28209</xdr:colOff>
      <xdr:row>109</xdr:row>
      <xdr:rowOff>41786</xdr:rowOff>
    </xdr:from>
    <xdr:to>
      <xdr:col>8</xdr:col>
      <xdr:colOff>172209</xdr:colOff>
      <xdr:row>109</xdr:row>
      <xdr:rowOff>185786</xdr:rowOff>
    </xdr:to>
    <xdr:sp macro="" textlink="">
      <xdr:nvSpPr>
        <xdr:cNvPr id="96" name="95 Elipse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SpPr/>
      </xdr:nvSpPr>
      <xdr:spPr>
        <a:xfrm>
          <a:off x="9675673" y="24956465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25487</xdr:colOff>
      <xdr:row>110</xdr:row>
      <xdr:rowOff>43637</xdr:rowOff>
    </xdr:from>
    <xdr:to>
      <xdr:col>8</xdr:col>
      <xdr:colOff>169487</xdr:colOff>
      <xdr:row>110</xdr:row>
      <xdr:rowOff>187637</xdr:rowOff>
    </xdr:to>
    <xdr:sp macro="" textlink="">
      <xdr:nvSpPr>
        <xdr:cNvPr id="97" name="96 Elipse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SpPr/>
      </xdr:nvSpPr>
      <xdr:spPr>
        <a:xfrm>
          <a:off x="9672951" y="25189637"/>
          <a:ext cx="144000" cy="144000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28209</xdr:colOff>
      <xdr:row>111</xdr:row>
      <xdr:rowOff>41782</xdr:rowOff>
    </xdr:from>
    <xdr:to>
      <xdr:col>8</xdr:col>
      <xdr:colOff>172209</xdr:colOff>
      <xdr:row>111</xdr:row>
      <xdr:rowOff>185782</xdr:rowOff>
    </xdr:to>
    <xdr:sp macro="" textlink="">
      <xdr:nvSpPr>
        <xdr:cNvPr id="98" name="97 Elipse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SpPr/>
      </xdr:nvSpPr>
      <xdr:spPr>
        <a:xfrm>
          <a:off x="9675673" y="25419103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30932</xdr:colOff>
      <xdr:row>112</xdr:row>
      <xdr:rowOff>35844</xdr:rowOff>
    </xdr:from>
    <xdr:to>
      <xdr:col>8</xdr:col>
      <xdr:colOff>174932</xdr:colOff>
      <xdr:row>112</xdr:row>
      <xdr:rowOff>179844</xdr:rowOff>
    </xdr:to>
    <xdr:sp macro="" textlink="">
      <xdr:nvSpPr>
        <xdr:cNvPr id="99" name="98 Elipse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SpPr/>
      </xdr:nvSpPr>
      <xdr:spPr>
        <a:xfrm>
          <a:off x="9678396" y="25644487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25487</xdr:colOff>
      <xdr:row>113</xdr:row>
      <xdr:rowOff>39920</xdr:rowOff>
    </xdr:from>
    <xdr:to>
      <xdr:col>8</xdr:col>
      <xdr:colOff>169487</xdr:colOff>
      <xdr:row>113</xdr:row>
      <xdr:rowOff>183920</xdr:rowOff>
    </xdr:to>
    <xdr:sp macro="" textlink="">
      <xdr:nvSpPr>
        <xdr:cNvPr id="100" name="99 Elipse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SpPr/>
      </xdr:nvSpPr>
      <xdr:spPr>
        <a:xfrm>
          <a:off x="9672951" y="25879884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28209</xdr:colOff>
      <xdr:row>114</xdr:row>
      <xdr:rowOff>42642</xdr:rowOff>
    </xdr:from>
    <xdr:to>
      <xdr:col>8</xdr:col>
      <xdr:colOff>172209</xdr:colOff>
      <xdr:row>114</xdr:row>
      <xdr:rowOff>186642</xdr:rowOff>
    </xdr:to>
    <xdr:sp macro="" textlink="">
      <xdr:nvSpPr>
        <xdr:cNvPr id="101" name="100 Elipse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SpPr/>
      </xdr:nvSpPr>
      <xdr:spPr>
        <a:xfrm>
          <a:off x="9675673" y="26113928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30932</xdr:colOff>
      <xdr:row>115</xdr:row>
      <xdr:rowOff>45363</xdr:rowOff>
    </xdr:from>
    <xdr:to>
      <xdr:col>8</xdr:col>
      <xdr:colOff>174932</xdr:colOff>
      <xdr:row>115</xdr:row>
      <xdr:rowOff>189363</xdr:rowOff>
    </xdr:to>
    <xdr:sp macro="" textlink="">
      <xdr:nvSpPr>
        <xdr:cNvPr id="102" name="101 Elipse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SpPr/>
      </xdr:nvSpPr>
      <xdr:spPr>
        <a:xfrm>
          <a:off x="9678396" y="26347970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25982</xdr:colOff>
      <xdr:row>132</xdr:row>
      <xdr:rowOff>53163</xdr:rowOff>
    </xdr:from>
    <xdr:to>
      <xdr:col>3</xdr:col>
      <xdr:colOff>169982</xdr:colOff>
      <xdr:row>132</xdr:row>
      <xdr:rowOff>197163</xdr:rowOff>
    </xdr:to>
    <xdr:sp macro="" textlink="">
      <xdr:nvSpPr>
        <xdr:cNvPr id="103" name="102 Elipse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SpPr/>
      </xdr:nvSpPr>
      <xdr:spPr>
        <a:xfrm>
          <a:off x="4502732" y="30261020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28705</xdr:colOff>
      <xdr:row>133</xdr:row>
      <xdr:rowOff>47225</xdr:rowOff>
    </xdr:from>
    <xdr:to>
      <xdr:col>3</xdr:col>
      <xdr:colOff>172705</xdr:colOff>
      <xdr:row>133</xdr:row>
      <xdr:rowOff>191225</xdr:rowOff>
    </xdr:to>
    <xdr:sp macro="" textlink="">
      <xdr:nvSpPr>
        <xdr:cNvPr id="104" name="103 Elipse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SpPr/>
      </xdr:nvSpPr>
      <xdr:spPr>
        <a:xfrm>
          <a:off x="4505455" y="30486404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23260</xdr:colOff>
      <xdr:row>134</xdr:row>
      <xdr:rowOff>50435</xdr:rowOff>
    </xdr:from>
    <xdr:to>
      <xdr:col>3</xdr:col>
      <xdr:colOff>167260</xdr:colOff>
      <xdr:row>134</xdr:row>
      <xdr:rowOff>194435</xdr:rowOff>
    </xdr:to>
    <xdr:sp macro="" textlink="">
      <xdr:nvSpPr>
        <xdr:cNvPr id="105" name="104 Elipse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SpPr/>
      </xdr:nvSpPr>
      <xdr:spPr>
        <a:xfrm>
          <a:off x="4500010" y="30720935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25982</xdr:colOff>
      <xdr:row>135</xdr:row>
      <xdr:rowOff>53157</xdr:rowOff>
    </xdr:from>
    <xdr:to>
      <xdr:col>3</xdr:col>
      <xdr:colOff>169982</xdr:colOff>
      <xdr:row>135</xdr:row>
      <xdr:rowOff>197157</xdr:rowOff>
    </xdr:to>
    <xdr:sp macro="" textlink="">
      <xdr:nvSpPr>
        <xdr:cNvPr id="106" name="105 Elipse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SpPr/>
      </xdr:nvSpPr>
      <xdr:spPr>
        <a:xfrm>
          <a:off x="4502732" y="30954978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20046</xdr:colOff>
      <xdr:row>136</xdr:row>
      <xdr:rowOff>56744</xdr:rowOff>
    </xdr:from>
    <xdr:to>
      <xdr:col>3</xdr:col>
      <xdr:colOff>164046</xdr:colOff>
      <xdr:row>136</xdr:row>
      <xdr:rowOff>200744</xdr:rowOff>
    </xdr:to>
    <xdr:sp macro="" textlink="">
      <xdr:nvSpPr>
        <xdr:cNvPr id="107" name="106 Elipse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SpPr/>
      </xdr:nvSpPr>
      <xdr:spPr>
        <a:xfrm>
          <a:off x="4496796" y="31189887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11387</xdr:colOff>
      <xdr:row>137</xdr:row>
      <xdr:rowOff>52165</xdr:rowOff>
    </xdr:from>
    <xdr:to>
      <xdr:col>3</xdr:col>
      <xdr:colOff>155387</xdr:colOff>
      <xdr:row>137</xdr:row>
      <xdr:rowOff>196165</xdr:rowOff>
    </xdr:to>
    <xdr:sp macro="" textlink="">
      <xdr:nvSpPr>
        <xdr:cNvPr id="108" name="107 Elipse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SpPr/>
      </xdr:nvSpPr>
      <xdr:spPr>
        <a:xfrm>
          <a:off x="4488137" y="31416629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14110</xdr:colOff>
      <xdr:row>138</xdr:row>
      <xdr:rowOff>49938</xdr:rowOff>
    </xdr:from>
    <xdr:to>
      <xdr:col>3</xdr:col>
      <xdr:colOff>158110</xdr:colOff>
      <xdr:row>138</xdr:row>
      <xdr:rowOff>193938</xdr:rowOff>
    </xdr:to>
    <xdr:sp macro="" textlink="">
      <xdr:nvSpPr>
        <xdr:cNvPr id="109" name="108 Elipse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SpPr/>
      </xdr:nvSpPr>
      <xdr:spPr>
        <a:xfrm>
          <a:off x="4490860" y="31645724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17324</xdr:colOff>
      <xdr:row>139</xdr:row>
      <xdr:rowOff>53148</xdr:rowOff>
    </xdr:from>
    <xdr:to>
      <xdr:col>3</xdr:col>
      <xdr:colOff>161324</xdr:colOff>
      <xdr:row>139</xdr:row>
      <xdr:rowOff>197148</xdr:rowOff>
    </xdr:to>
    <xdr:sp macro="" textlink="">
      <xdr:nvSpPr>
        <xdr:cNvPr id="110" name="109 Elipse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SpPr/>
      </xdr:nvSpPr>
      <xdr:spPr>
        <a:xfrm>
          <a:off x="4494074" y="31880255"/>
          <a:ext cx="144000" cy="144000"/>
        </a:xfrm>
        <a:prstGeom prst="ellipse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11387</xdr:colOff>
      <xdr:row>140</xdr:row>
      <xdr:rowOff>47211</xdr:rowOff>
    </xdr:from>
    <xdr:to>
      <xdr:col>3</xdr:col>
      <xdr:colOff>155387</xdr:colOff>
      <xdr:row>140</xdr:row>
      <xdr:rowOff>191211</xdr:rowOff>
    </xdr:to>
    <xdr:sp macro="" textlink="">
      <xdr:nvSpPr>
        <xdr:cNvPr id="111" name="110 Elipse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SpPr/>
      </xdr:nvSpPr>
      <xdr:spPr>
        <a:xfrm>
          <a:off x="4488137" y="32105640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14110</xdr:colOff>
      <xdr:row>141</xdr:row>
      <xdr:rowOff>49932</xdr:rowOff>
    </xdr:from>
    <xdr:to>
      <xdr:col>3</xdr:col>
      <xdr:colOff>158110</xdr:colOff>
      <xdr:row>141</xdr:row>
      <xdr:rowOff>193932</xdr:rowOff>
    </xdr:to>
    <xdr:sp macro="" textlink="">
      <xdr:nvSpPr>
        <xdr:cNvPr id="112" name="111 Elipse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SpPr/>
      </xdr:nvSpPr>
      <xdr:spPr>
        <a:xfrm>
          <a:off x="4490860" y="32339682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14108</xdr:colOff>
      <xdr:row>142</xdr:row>
      <xdr:rowOff>44999</xdr:rowOff>
    </xdr:from>
    <xdr:to>
      <xdr:col>3</xdr:col>
      <xdr:colOff>158108</xdr:colOff>
      <xdr:row>142</xdr:row>
      <xdr:rowOff>188999</xdr:rowOff>
    </xdr:to>
    <xdr:sp macro="" textlink="">
      <xdr:nvSpPr>
        <xdr:cNvPr id="114" name="113 Elipse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SpPr/>
      </xdr:nvSpPr>
      <xdr:spPr>
        <a:xfrm>
          <a:off x="4490858" y="32797392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17322</xdr:colOff>
      <xdr:row>143</xdr:row>
      <xdr:rowOff>48209</xdr:rowOff>
    </xdr:from>
    <xdr:to>
      <xdr:col>3</xdr:col>
      <xdr:colOff>161322</xdr:colOff>
      <xdr:row>143</xdr:row>
      <xdr:rowOff>192209</xdr:rowOff>
    </xdr:to>
    <xdr:sp macro="" textlink="">
      <xdr:nvSpPr>
        <xdr:cNvPr id="115" name="114 Elipse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SpPr/>
      </xdr:nvSpPr>
      <xdr:spPr>
        <a:xfrm>
          <a:off x="4494072" y="33031923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11385</xdr:colOff>
      <xdr:row>144</xdr:row>
      <xdr:rowOff>51797</xdr:rowOff>
    </xdr:from>
    <xdr:to>
      <xdr:col>3</xdr:col>
      <xdr:colOff>155385</xdr:colOff>
      <xdr:row>144</xdr:row>
      <xdr:rowOff>195797</xdr:rowOff>
    </xdr:to>
    <xdr:sp macro="" textlink="">
      <xdr:nvSpPr>
        <xdr:cNvPr id="116" name="115 Elipse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SpPr/>
      </xdr:nvSpPr>
      <xdr:spPr>
        <a:xfrm>
          <a:off x="4488135" y="33266833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14108</xdr:colOff>
      <xdr:row>145</xdr:row>
      <xdr:rowOff>54518</xdr:rowOff>
    </xdr:from>
    <xdr:to>
      <xdr:col>3</xdr:col>
      <xdr:colOff>158108</xdr:colOff>
      <xdr:row>145</xdr:row>
      <xdr:rowOff>198518</xdr:rowOff>
    </xdr:to>
    <xdr:sp macro="" textlink="">
      <xdr:nvSpPr>
        <xdr:cNvPr id="117" name="116 Elipse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SpPr/>
      </xdr:nvSpPr>
      <xdr:spPr>
        <a:xfrm>
          <a:off x="4490858" y="33500875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28704</xdr:colOff>
      <xdr:row>148</xdr:row>
      <xdr:rowOff>43144</xdr:rowOff>
    </xdr:from>
    <xdr:to>
      <xdr:col>3</xdr:col>
      <xdr:colOff>172704</xdr:colOff>
      <xdr:row>148</xdr:row>
      <xdr:rowOff>187144</xdr:rowOff>
    </xdr:to>
    <xdr:sp macro="" textlink="">
      <xdr:nvSpPr>
        <xdr:cNvPr id="118" name="117 Elipse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SpPr/>
      </xdr:nvSpPr>
      <xdr:spPr>
        <a:xfrm>
          <a:off x="4505454" y="34183465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31427</xdr:colOff>
      <xdr:row>149</xdr:row>
      <xdr:rowOff>45865</xdr:rowOff>
    </xdr:from>
    <xdr:to>
      <xdr:col>3</xdr:col>
      <xdr:colOff>175427</xdr:colOff>
      <xdr:row>149</xdr:row>
      <xdr:rowOff>189865</xdr:rowOff>
    </xdr:to>
    <xdr:sp macro="" textlink="">
      <xdr:nvSpPr>
        <xdr:cNvPr id="119" name="118 Elipse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SpPr/>
      </xdr:nvSpPr>
      <xdr:spPr>
        <a:xfrm>
          <a:off x="4508177" y="34417508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28704</xdr:colOff>
      <xdr:row>150</xdr:row>
      <xdr:rowOff>38181</xdr:rowOff>
    </xdr:from>
    <xdr:to>
      <xdr:col>3</xdr:col>
      <xdr:colOff>172704</xdr:colOff>
      <xdr:row>150</xdr:row>
      <xdr:rowOff>182181</xdr:rowOff>
    </xdr:to>
    <xdr:sp macro="" textlink="">
      <xdr:nvSpPr>
        <xdr:cNvPr id="120" name="119 Elipse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SpPr/>
      </xdr:nvSpPr>
      <xdr:spPr>
        <a:xfrm>
          <a:off x="4505454" y="34641145"/>
          <a:ext cx="144000" cy="144000"/>
        </a:xfrm>
        <a:prstGeom prst="ellipse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31427</xdr:colOff>
      <xdr:row>132</xdr:row>
      <xdr:rowOff>41280</xdr:rowOff>
    </xdr:from>
    <xdr:to>
      <xdr:col>8</xdr:col>
      <xdr:colOff>175427</xdr:colOff>
      <xdr:row>132</xdr:row>
      <xdr:rowOff>185280</xdr:rowOff>
    </xdr:to>
    <xdr:sp macro="" textlink="">
      <xdr:nvSpPr>
        <xdr:cNvPr id="121" name="120 Elipse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SpPr/>
      </xdr:nvSpPr>
      <xdr:spPr>
        <a:xfrm>
          <a:off x="9678891" y="30249137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34150</xdr:colOff>
      <xdr:row>133</xdr:row>
      <xdr:rowOff>39053</xdr:rowOff>
    </xdr:from>
    <xdr:to>
      <xdr:col>8</xdr:col>
      <xdr:colOff>178150</xdr:colOff>
      <xdr:row>133</xdr:row>
      <xdr:rowOff>183053</xdr:rowOff>
    </xdr:to>
    <xdr:sp macro="" textlink="">
      <xdr:nvSpPr>
        <xdr:cNvPr id="122" name="121 Elipse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SpPr/>
      </xdr:nvSpPr>
      <xdr:spPr>
        <a:xfrm>
          <a:off x="9681614" y="30478232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24993</xdr:colOff>
      <xdr:row>163</xdr:row>
      <xdr:rowOff>43144</xdr:rowOff>
    </xdr:from>
    <xdr:to>
      <xdr:col>3</xdr:col>
      <xdr:colOff>168993</xdr:colOff>
      <xdr:row>163</xdr:row>
      <xdr:rowOff>187144</xdr:rowOff>
    </xdr:to>
    <xdr:sp macro="" textlink="">
      <xdr:nvSpPr>
        <xdr:cNvPr id="123" name="122 Elipse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SpPr/>
      </xdr:nvSpPr>
      <xdr:spPr>
        <a:xfrm>
          <a:off x="4501743" y="37394751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27716</xdr:colOff>
      <xdr:row>164</xdr:row>
      <xdr:rowOff>36340</xdr:rowOff>
    </xdr:from>
    <xdr:to>
      <xdr:col>3</xdr:col>
      <xdr:colOff>171716</xdr:colOff>
      <xdr:row>164</xdr:row>
      <xdr:rowOff>180340</xdr:rowOff>
    </xdr:to>
    <xdr:sp macro="" textlink="">
      <xdr:nvSpPr>
        <xdr:cNvPr id="124" name="123 Elipse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SpPr/>
      </xdr:nvSpPr>
      <xdr:spPr>
        <a:xfrm>
          <a:off x="4504466" y="37619269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30930</xdr:colOff>
      <xdr:row>165</xdr:row>
      <xdr:rowOff>39550</xdr:rowOff>
    </xdr:from>
    <xdr:to>
      <xdr:col>3</xdr:col>
      <xdr:colOff>174930</xdr:colOff>
      <xdr:row>165</xdr:row>
      <xdr:rowOff>183550</xdr:rowOff>
    </xdr:to>
    <xdr:sp macro="" textlink="">
      <xdr:nvSpPr>
        <xdr:cNvPr id="125" name="124 Elipse">
          <a:extLst>
            <a:ext uri="{FF2B5EF4-FFF2-40B4-BE49-F238E27FC236}">
              <a16:creationId xmlns:a16="http://schemas.microsoft.com/office/drawing/2014/main" id="{00000000-0008-0000-0900-00007D000000}"/>
            </a:ext>
          </a:extLst>
        </xdr:cNvPr>
        <xdr:cNvSpPr/>
      </xdr:nvSpPr>
      <xdr:spPr>
        <a:xfrm>
          <a:off x="4507680" y="37853800"/>
          <a:ext cx="144000" cy="144000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24993</xdr:colOff>
      <xdr:row>166</xdr:row>
      <xdr:rowOff>42272</xdr:rowOff>
    </xdr:from>
    <xdr:to>
      <xdr:col>3</xdr:col>
      <xdr:colOff>168993</xdr:colOff>
      <xdr:row>166</xdr:row>
      <xdr:rowOff>186272</xdr:rowOff>
    </xdr:to>
    <xdr:sp macro="" textlink="">
      <xdr:nvSpPr>
        <xdr:cNvPr id="126" name="125 Elipse">
          <a:extLst>
            <a:ext uri="{FF2B5EF4-FFF2-40B4-BE49-F238E27FC236}">
              <a16:creationId xmlns:a16="http://schemas.microsoft.com/office/drawing/2014/main" id="{00000000-0008-0000-0900-00007E000000}"/>
            </a:ext>
          </a:extLst>
        </xdr:cNvPr>
        <xdr:cNvSpPr/>
      </xdr:nvSpPr>
      <xdr:spPr>
        <a:xfrm>
          <a:off x="4501743" y="38087843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27716</xdr:colOff>
      <xdr:row>167</xdr:row>
      <xdr:rowOff>36334</xdr:rowOff>
    </xdr:from>
    <xdr:to>
      <xdr:col>3</xdr:col>
      <xdr:colOff>171716</xdr:colOff>
      <xdr:row>167</xdr:row>
      <xdr:rowOff>180334</xdr:rowOff>
    </xdr:to>
    <xdr:sp macro="" textlink="">
      <xdr:nvSpPr>
        <xdr:cNvPr id="127" name="126 Elipse">
          <a:extLst>
            <a:ext uri="{FF2B5EF4-FFF2-40B4-BE49-F238E27FC236}">
              <a16:creationId xmlns:a16="http://schemas.microsoft.com/office/drawing/2014/main" id="{00000000-0008-0000-0900-00007F000000}"/>
            </a:ext>
          </a:extLst>
        </xdr:cNvPr>
        <xdr:cNvSpPr/>
      </xdr:nvSpPr>
      <xdr:spPr>
        <a:xfrm>
          <a:off x="4504466" y="38313227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31427</xdr:colOff>
      <xdr:row>168</xdr:row>
      <xdr:rowOff>41280</xdr:rowOff>
    </xdr:from>
    <xdr:to>
      <xdr:col>3</xdr:col>
      <xdr:colOff>175427</xdr:colOff>
      <xdr:row>168</xdr:row>
      <xdr:rowOff>185280</xdr:rowOff>
    </xdr:to>
    <xdr:sp macro="" textlink="">
      <xdr:nvSpPr>
        <xdr:cNvPr id="128" name="127 Elipse">
          <a:extLst>
            <a:ext uri="{FF2B5EF4-FFF2-40B4-BE49-F238E27FC236}">
              <a16:creationId xmlns:a16="http://schemas.microsoft.com/office/drawing/2014/main" id="{00000000-0008-0000-0900-000080000000}"/>
            </a:ext>
          </a:extLst>
        </xdr:cNvPr>
        <xdr:cNvSpPr/>
      </xdr:nvSpPr>
      <xdr:spPr>
        <a:xfrm>
          <a:off x="4508177" y="38549494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25491</xdr:colOff>
      <xdr:row>169</xdr:row>
      <xdr:rowOff>39053</xdr:rowOff>
    </xdr:from>
    <xdr:to>
      <xdr:col>3</xdr:col>
      <xdr:colOff>169491</xdr:colOff>
      <xdr:row>169</xdr:row>
      <xdr:rowOff>183053</xdr:rowOff>
    </xdr:to>
    <xdr:sp macro="" textlink="">
      <xdr:nvSpPr>
        <xdr:cNvPr id="129" name="128 Elipse">
          <a:extLst>
            <a:ext uri="{FF2B5EF4-FFF2-40B4-BE49-F238E27FC236}">
              <a16:creationId xmlns:a16="http://schemas.microsoft.com/office/drawing/2014/main" id="{00000000-0008-0000-0900-000081000000}"/>
            </a:ext>
          </a:extLst>
        </xdr:cNvPr>
        <xdr:cNvSpPr/>
      </xdr:nvSpPr>
      <xdr:spPr>
        <a:xfrm>
          <a:off x="4502241" y="38778589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20046</xdr:colOff>
      <xdr:row>170</xdr:row>
      <xdr:rowOff>51788</xdr:rowOff>
    </xdr:from>
    <xdr:to>
      <xdr:col>3</xdr:col>
      <xdr:colOff>164046</xdr:colOff>
      <xdr:row>170</xdr:row>
      <xdr:rowOff>195788</xdr:rowOff>
    </xdr:to>
    <xdr:sp macro="" textlink="">
      <xdr:nvSpPr>
        <xdr:cNvPr id="130" name="129 Elipse">
          <a:extLst>
            <a:ext uri="{FF2B5EF4-FFF2-40B4-BE49-F238E27FC236}">
              <a16:creationId xmlns:a16="http://schemas.microsoft.com/office/drawing/2014/main" id="{00000000-0008-0000-0900-000082000000}"/>
            </a:ext>
          </a:extLst>
        </xdr:cNvPr>
        <xdr:cNvSpPr/>
      </xdr:nvSpPr>
      <xdr:spPr>
        <a:xfrm>
          <a:off x="4496796" y="39022645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22768</xdr:colOff>
      <xdr:row>171</xdr:row>
      <xdr:rowOff>44985</xdr:rowOff>
    </xdr:from>
    <xdr:to>
      <xdr:col>3</xdr:col>
      <xdr:colOff>166768</xdr:colOff>
      <xdr:row>171</xdr:row>
      <xdr:rowOff>188985</xdr:rowOff>
    </xdr:to>
    <xdr:sp macro="" textlink="">
      <xdr:nvSpPr>
        <xdr:cNvPr id="131" name="130 Elipse">
          <a:extLst>
            <a:ext uri="{FF2B5EF4-FFF2-40B4-BE49-F238E27FC236}">
              <a16:creationId xmlns:a16="http://schemas.microsoft.com/office/drawing/2014/main" id="{00000000-0008-0000-0900-000083000000}"/>
            </a:ext>
          </a:extLst>
        </xdr:cNvPr>
        <xdr:cNvSpPr/>
      </xdr:nvSpPr>
      <xdr:spPr>
        <a:xfrm>
          <a:off x="4499518" y="39247164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27716</xdr:colOff>
      <xdr:row>160</xdr:row>
      <xdr:rowOff>41296</xdr:rowOff>
    </xdr:from>
    <xdr:to>
      <xdr:col>3</xdr:col>
      <xdr:colOff>171716</xdr:colOff>
      <xdr:row>160</xdr:row>
      <xdr:rowOff>185296</xdr:rowOff>
    </xdr:to>
    <xdr:sp macro="" textlink="">
      <xdr:nvSpPr>
        <xdr:cNvPr id="132" name="131 Elipse">
          <a:extLst>
            <a:ext uri="{FF2B5EF4-FFF2-40B4-BE49-F238E27FC236}">
              <a16:creationId xmlns:a16="http://schemas.microsoft.com/office/drawing/2014/main" id="{00000000-0008-0000-0900-000084000000}"/>
            </a:ext>
          </a:extLst>
        </xdr:cNvPr>
        <xdr:cNvSpPr/>
      </xdr:nvSpPr>
      <xdr:spPr>
        <a:xfrm>
          <a:off x="4504466" y="36698939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28214</xdr:colOff>
      <xdr:row>174</xdr:row>
      <xdr:rowOff>38055</xdr:rowOff>
    </xdr:from>
    <xdr:to>
      <xdr:col>3</xdr:col>
      <xdr:colOff>172214</xdr:colOff>
      <xdr:row>174</xdr:row>
      <xdr:rowOff>182055</xdr:rowOff>
    </xdr:to>
    <xdr:sp macro="" textlink="">
      <xdr:nvSpPr>
        <xdr:cNvPr id="133" name="132 Elipse">
          <a:extLst>
            <a:ext uri="{FF2B5EF4-FFF2-40B4-BE49-F238E27FC236}">
              <a16:creationId xmlns:a16="http://schemas.microsoft.com/office/drawing/2014/main" id="{00000000-0008-0000-0900-000085000000}"/>
            </a:ext>
          </a:extLst>
        </xdr:cNvPr>
        <xdr:cNvSpPr/>
      </xdr:nvSpPr>
      <xdr:spPr>
        <a:xfrm>
          <a:off x="4504964" y="39934198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22769</xdr:colOff>
      <xdr:row>175</xdr:row>
      <xdr:rowOff>41265</xdr:rowOff>
    </xdr:from>
    <xdr:to>
      <xdr:col>3</xdr:col>
      <xdr:colOff>166769</xdr:colOff>
      <xdr:row>175</xdr:row>
      <xdr:rowOff>185265</xdr:rowOff>
    </xdr:to>
    <xdr:sp macro="" textlink="">
      <xdr:nvSpPr>
        <xdr:cNvPr id="134" name="133 Elipse">
          <a:extLst>
            <a:ext uri="{FF2B5EF4-FFF2-40B4-BE49-F238E27FC236}">
              <a16:creationId xmlns:a16="http://schemas.microsoft.com/office/drawing/2014/main" id="{00000000-0008-0000-0900-000086000000}"/>
            </a:ext>
          </a:extLst>
        </xdr:cNvPr>
        <xdr:cNvSpPr/>
      </xdr:nvSpPr>
      <xdr:spPr>
        <a:xfrm>
          <a:off x="4499519" y="40168729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25491</xdr:colOff>
      <xdr:row>176</xdr:row>
      <xdr:rowOff>43987</xdr:rowOff>
    </xdr:from>
    <xdr:to>
      <xdr:col>3</xdr:col>
      <xdr:colOff>169491</xdr:colOff>
      <xdr:row>176</xdr:row>
      <xdr:rowOff>187987</xdr:rowOff>
    </xdr:to>
    <xdr:sp macro="" textlink="">
      <xdr:nvSpPr>
        <xdr:cNvPr id="135" name="134 Elipse">
          <a:extLst>
            <a:ext uri="{FF2B5EF4-FFF2-40B4-BE49-F238E27FC236}">
              <a16:creationId xmlns:a16="http://schemas.microsoft.com/office/drawing/2014/main" id="{00000000-0008-0000-0900-000087000000}"/>
            </a:ext>
          </a:extLst>
        </xdr:cNvPr>
        <xdr:cNvSpPr/>
      </xdr:nvSpPr>
      <xdr:spPr>
        <a:xfrm>
          <a:off x="4502241" y="40402773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22278</xdr:colOff>
      <xdr:row>179</xdr:row>
      <xdr:rowOff>45345</xdr:rowOff>
    </xdr:from>
    <xdr:to>
      <xdr:col>3</xdr:col>
      <xdr:colOff>166278</xdr:colOff>
      <xdr:row>179</xdr:row>
      <xdr:rowOff>189345</xdr:rowOff>
    </xdr:to>
    <xdr:sp macro="" textlink="">
      <xdr:nvSpPr>
        <xdr:cNvPr id="136" name="135 Elipse">
          <a:extLst>
            <a:ext uri="{FF2B5EF4-FFF2-40B4-BE49-F238E27FC236}">
              <a16:creationId xmlns:a16="http://schemas.microsoft.com/office/drawing/2014/main" id="{00000000-0008-0000-0900-000088000000}"/>
            </a:ext>
          </a:extLst>
        </xdr:cNvPr>
        <xdr:cNvSpPr/>
      </xdr:nvSpPr>
      <xdr:spPr>
        <a:xfrm>
          <a:off x="4499028" y="41098095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25492</xdr:colOff>
      <xdr:row>180</xdr:row>
      <xdr:rowOff>39030</xdr:rowOff>
    </xdr:from>
    <xdr:to>
      <xdr:col>3</xdr:col>
      <xdr:colOff>169492</xdr:colOff>
      <xdr:row>180</xdr:row>
      <xdr:rowOff>183030</xdr:rowOff>
    </xdr:to>
    <xdr:sp macro="" textlink="">
      <xdr:nvSpPr>
        <xdr:cNvPr id="137" name="136 Elipse">
          <a:extLst>
            <a:ext uri="{FF2B5EF4-FFF2-40B4-BE49-F238E27FC236}">
              <a16:creationId xmlns:a16="http://schemas.microsoft.com/office/drawing/2014/main" id="{00000000-0008-0000-0900-000089000000}"/>
            </a:ext>
          </a:extLst>
        </xdr:cNvPr>
        <xdr:cNvSpPr/>
      </xdr:nvSpPr>
      <xdr:spPr>
        <a:xfrm>
          <a:off x="4502242" y="41323101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28214</xdr:colOff>
      <xdr:row>181</xdr:row>
      <xdr:rowOff>41752</xdr:rowOff>
    </xdr:from>
    <xdr:to>
      <xdr:col>3</xdr:col>
      <xdr:colOff>172214</xdr:colOff>
      <xdr:row>181</xdr:row>
      <xdr:rowOff>185752</xdr:rowOff>
    </xdr:to>
    <xdr:sp macro="" textlink="">
      <xdr:nvSpPr>
        <xdr:cNvPr id="138" name="137 Elipse">
          <a:extLst>
            <a:ext uri="{FF2B5EF4-FFF2-40B4-BE49-F238E27FC236}">
              <a16:creationId xmlns:a16="http://schemas.microsoft.com/office/drawing/2014/main" id="{00000000-0008-0000-0900-00008A000000}"/>
            </a:ext>
          </a:extLst>
        </xdr:cNvPr>
        <xdr:cNvSpPr/>
      </xdr:nvSpPr>
      <xdr:spPr>
        <a:xfrm>
          <a:off x="4504964" y="41557145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29200</xdr:colOff>
      <xdr:row>160</xdr:row>
      <xdr:rowOff>39055</xdr:rowOff>
    </xdr:from>
    <xdr:to>
      <xdr:col>8</xdr:col>
      <xdr:colOff>173200</xdr:colOff>
      <xdr:row>160</xdr:row>
      <xdr:rowOff>183055</xdr:rowOff>
    </xdr:to>
    <xdr:sp macro="" textlink="">
      <xdr:nvSpPr>
        <xdr:cNvPr id="139" name="138 Elipse">
          <a:extLst>
            <a:ext uri="{FF2B5EF4-FFF2-40B4-BE49-F238E27FC236}">
              <a16:creationId xmlns:a16="http://schemas.microsoft.com/office/drawing/2014/main" id="{00000000-0008-0000-0900-00008B000000}"/>
            </a:ext>
          </a:extLst>
        </xdr:cNvPr>
        <xdr:cNvSpPr/>
      </xdr:nvSpPr>
      <xdr:spPr>
        <a:xfrm>
          <a:off x="9676664" y="36696698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34148</xdr:colOff>
      <xdr:row>161</xdr:row>
      <xdr:rowOff>39053</xdr:rowOff>
    </xdr:from>
    <xdr:to>
      <xdr:col>8</xdr:col>
      <xdr:colOff>178148</xdr:colOff>
      <xdr:row>161</xdr:row>
      <xdr:rowOff>183053</xdr:rowOff>
    </xdr:to>
    <xdr:sp macro="" textlink="">
      <xdr:nvSpPr>
        <xdr:cNvPr id="140" name="139 Elipse">
          <a:extLst>
            <a:ext uri="{FF2B5EF4-FFF2-40B4-BE49-F238E27FC236}">
              <a16:creationId xmlns:a16="http://schemas.microsoft.com/office/drawing/2014/main" id="{00000000-0008-0000-0900-00008C000000}"/>
            </a:ext>
          </a:extLst>
        </xdr:cNvPr>
        <xdr:cNvSpPr/>
      </xdr:nvSpPr>
      <xdr:spPr>
        <a:xfrm>
          <a:off x="9681612" y="36928017"/>
          <a:ext cx="144000" cy="144000"/>
        </a:xfrm>
        <a:prstGeom prst="ellipse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31923</xdr:colOff>
      <xdr:row>162</xdr:row>
      <xdr:rowOff>33115</xdr:rowOff>
    </xdr:from>
    <xdr:to>
      <xdr:col>8</xdr:col>
      <xdr:colOff>175923</xdr:colOff>
      <xdr:row>162</xdr:row>
      <xdr:rowOff>177115</xdr:rowOff>
    </xdr:to>
    <xdr:sp macro="" textlink="">
      <xdr:nvSpPr>
        <xdr:cNvPr id="141" name="140 Elipse">
          <a:extLst>
            <a:ext uri="{FF2B5EF4-FFF2-40B4-BE49-F238E27FC236}">
              <a16:creationId xmlns:a16="http://schemas.microsoft.com/office/drawing/2014/main" id="{00000000-0008-0000-0900-00008D000000}"/>
            </a:ext>
          </a:extLst>
        </xdr:cNvPr>
        <xdr:cNvSpPr/>
      </xdr:nvSpPr>
      <xdr:spPr>
        <a:xfrm>
          <a:off x="9679387" y="37153401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26478</xdr:colOff>
      <xdr:row>163</xdr:row>
      <xdr:rowOff>36325</xdr:rowOff>
    </xdr:from>
    <xdr:to>
      <xdr:col>8</xdr:col>
      <xdr:colOff>170478</xdr:colOff>
      <xdr:row>163</xdr:row>
      <xdr:rowOff>180325</xdr:rowOff>
    </xdr:to>
    <xdr:sp macro="" textlink="">
      <xdr:nvSpPr>
        <xdr:cNvPr id="142" name="141 Elipse">
          <a:extLst>
            <a:ext uri="{FF2B5EF4-FFF2-40B4-BE49-F238E27FC236}">
              <a16:creationId xmlns:a16="http://schemas.microsoft.com/office/drawing/2014/main" id="{00000000-0008-0000-0900-00008E000000}"/>
            </a:ext>
          </a:extLst>
        </xdr:cNvPr>
        <xdr:cNvSpPr/>
      </xdr:nvSpPr>
      <xdr:spPr>
        <a:xfrm>
          <a:off x="9673942" y="37387932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29200</xdr:colOff>
      <xdr:row>164</xdr:row>
      <xdr:rowOff>30388</xdr:rowOff>
    </xdr:from>
    <xdr:to>
      <xdr:col>8</xdr:col>
      <xdr:colOff>173200</xdr:colOff>
      <xdr:row>164</xdr:row>
      <xdr:rowOff>174388</xdr:rowOff>
    </xdr:to>
    <xdr:sp macro="" textlink="">
      <xdr:nvSpPr>
        <xdr:cNvPr id="143" name="142 Elipse">
          <a:extLst>
            <a:ext uri="{FF2B5EF4-FFF2-40B4-BE49-F238E27FC236}">
              <a16:creationId xmlns:a16="http://schemas.microsoft.com/office/drawing/2014/main" id="{00000000-0008-0000-0900-00008F000000}"/>
            </a:ext>
          </a:extLst>
        </xdr:cNvPr>
        <xdr:cNvSpPr/>
      </xdr:nvSpPr>
      <xdr:spPr>
        <a:xfrm>
          <a:off x="9676664" y="37613317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33195</xdr:colOff>
      <xdr:row>87</xdr:row>
      <xdr:rowOff>45959</xdr:rowOff>
    </xdr:from>
    <xdr:to>
      <xdr:col>3</xdr:col>
      <xdr:colOff>177195</xdr:colOff>
      <xdr:row>87</xdr:row>
      <xdr:rowOff>189959</xdr:rowOff>
    </xdr:to>
    <xdr:sp macro="" textlink="">
      <xdr:nvSpPr>
        <xdr:cNvPr id="144" name="143 Elipse">
          <a:extLst>
            <a:ext uri="{FF2B5EF4-FFF2-40B4-BE49-F238E27FC236}">
              <a16:creationId xmlns:a16="http://schemas.microsoft.com/office/drawing/2014/main" id="{00000000-0008-0000-0900-000090000000}"/>
            </a:ext>
          </a:extLst>
        </xdr:cNvPr>
        <xdr:cNvSpPr/>
      </xdr:nvSpPr>
      <xdr:spPr>
        <a:xfrm>
          <a:off x="4509945" y="19898780"/>
          <a:ext cx="144000" cy="144000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2144842</xdr:colOff>
      <xdr:row>66</xdr:row>
      <xdr:rowOff>40072</xdr:rowOff>
    </xdr:from>
    <xdr:to>
      <xdr:col>5</xdr:col>
      <xdr:colOff>2324842</xdr:colOff>
      <xdr:row>66</xdr:row>
      <xdr:rowOff>220072</xdr:rowOff>
    </xdr:to>
    <xdr:sp macro="" textlink="">
      <xdr:nvSpPr>
        <xdr:cNvPr id="145" name="144 Elipse">
          <a:extLst>
            <a:ext uri="{FF2B5EF4-FFF2-40B4-BE49-F238E27FC236}">
              <a16:creationId xmlns:a16="http://schemas.microsoft.com/office/drawing/2014/main" id="{00000000-0008-0000-0900-000091000000}"/>
            </a:ext>
          </a:extLst>
        </xdr:cNvPr>
        <xdr:cNvSpPr/>
      </xdr:nvSpPr>
      <xdr:spPr>
        <a:xfrm>
          <a:off x="7315556" y="15062358"/>
          <a:ext cx="180000" cy="180000"/>
        </a:xfrm>
        <a:prstGeom prst="ellipse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2149081</xdr:colOff>
      <xdr:row>65</xdr:row>
      <xdr:rowOff>33721</xdr:rowOff>
    </xdr:from>
    <xdr:to>
      <xdr:col>5</xdr:col>
      <xdr:colOff>2329081</xdr:colOff>
      <xdr:row>65</xdr:row>
      <xdr:rowOff>213721</xdr:rowOff>
    </xdr:to>
    <xdr:sp macro="" textlink="">
      <xdr:nvSpPr>
        <xdr:cNvPr id="146" name="145 Elipse">
          <a:extLst>
            <a:ext uri="{FF2B5EF4-FFF2-40B4-BE49-F238E27FC236}">
              <a16:creationId xmlns:a16="http://schemas.microsoft.com/office/drawing/2014/main" id="{00000000-0008-0000-0900-000092000000}"/>
            </a:ext>
          </a:extLst>
        </xdr:cNvPr>
        <xdr:cNvSpPr/>
      </xdr:nvSpPr>
      <xdr:spPr>
        <a:xfrm>
          <a:off x="7319795" y="14824685"/>
          <a:ext cx="180000" cy="180000"/>
        </a:xfrm>
        <a:prstGeom prst="ellipse">
          <a:avLst/>
        </a:prstGeom>
        <a:solidFill>
          <a:srgbClr val="FFC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2142734</xdr:colOff>
      <xdr:row>64</xdr:row>
      <xdr:rowOff>27370</xdr:rowOff>
    </xdr:from>
    <xdr:to>
      <xdr:col>5</xdr:col>
      <xdr:colOff>2322734</xdr:colOff>
      <xdr:row>64</xdr:row>
      <xdr:rowOff>207370</xdr:rowOff>
    </xdr:to>
    <xdr:sp macro="" textlink="">
      <xdr:nvSpPr>
        <xdr:cNvPr id="147" name="146 Elipse">
          <a:extLst>
            <a:ext uri="{FF2B5EF4-FFF2-40B4-BE49-F238E27FC236}">
              <a16:creationId xmlns:a16="http://schemas.microsoft.com/office/drawing/2014/main" id="{00000000-0008-0000-0900-000093000000}"/>
            </a:ext>
          </a:extLst>
        </xdr:cNvPr>
        <xdr:cNvSpPr/>
      </xdr:nvSpPr>
      <xdr:spPr>
        <a:xfrm>
          <a:off x="7313448" y="14587013"/>
          <a:ext cx="180000" cy="180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2144842</xdr:colOff>
      <xdr:row>89</xdr:row>
      <xdr:rowOff>40072</xdr:rowOff>
    </xdr:from>
    <xdr:to>
      <xdr:col>5</xdr:col>
      <xdr:colOff>2324842</xdr:colOff>
      <xdr:row>89</xdr:row>
      <xdr:rowOff>220072</xdr:rowOff>
    </xdr:to>
    <xdr:sp macro="" textlink="">
      <xdr:nvSpPr>
        <xdr:cNvPr id="148" name="147 Elipse">
          <a:extLst>
            <a:ext uri="{FF2B5EF4-FFF2-40B4-BE49-F238E27FC236}">
              <a16:creationId xmlns:a16="http://schemas.microsoft.com/office/drawing/2014/main" id="{00000000-0008-0000-0900-000094000000}"/>
            </a:ext>
          </a:extLst>
        </xdr:cNvPr>
        <xdr:cNvSpPr/>
      </xdr:nvSpPr>
      <xdr:spPr>
        <a:xfrm>
          <a:off x="7315556" y="20355536"/>
          <a:ext cx="180000" cy="180000"/>
        </a:xfrm>
        <a:prstGeom prst="ellipse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2149081</xdr:colOff>
      <xdr:row>88</xdr:row>
      <xdr:rowOff>33721</xdr:rowOff>
    </xdr:from>
    <xdr:to>
      <xdr:col>5</xdr:col>
      <xdr:colOff>2329081</xdr:colOff>
      <xdr:row>88</xdr:row>
      <xdr:rowOff>213721</xdr:rowOff>
    </xdr:to>
    <xdr:sp macro="" textlink="">
      <xdr:nvSpPr>
        <xdr:cNvPr id="149" name="148 Elipse">
          <a:extLst>
            <a:ext uri="{FF2B5EF4-FFF2-40B4-BE49-F238E27FC236}">
              <a16:creationId xmlns:a16="http://schemas.microsoft.com/office/drawing/2014/main" id="{00000000-0008-0000-0900-000095000000}"/>
            </a:ext>
          </a:extLst>
        </xdr:cNvPr>
        <xdr:cNvSpPr/>
      </xdr:nvSpPr>
      <xdr:spPr>
        <a:xfrm>
          <a:off x="7319795" y="20117864"/>
          <a:ext cx="180000" cy="180000"/>
        </a:xfrm>
        <a:prstGeom prst="ellipse">
          <a:avLst/>
        </a:prstGeom>
        <a:solidFill>
          <a:srgbClr val="FFC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2142734</xdr:colOff>
      <xdr:row>87</xdr:row>
      <xdr:rowOff>27370</xdr:rowOff>
    </xdr:from>
    <xdr:to>
      <xdr:col>5</xdr:col>
      <xdr:colOff>2322734</xdr:colOff>
      <xdr:row>87</xdr:row>
      <xdr:rowOff>207370</xdr:rowOff>
    </xdr:to>
    <xdr:sp macro="" textlink="">
      <xdr:nvSpPr>
        <xdr:cNvPr id="150" name="149 Elipse">
          <a:extLst>
            <a:ext uri="{FF2B5EF4-FFF2-40B4-BE49-F238E27FC236}">
              <a16:creationId xmlns:a16="http://schemas.microsoft.com/office/drawing/2014/main" id="{00000000-0008-0000-0900-000096000000}"/>
            </a:ext>
          </a:extLst>
        </xdr:cNvPr>
        <xdr:cNvSpPr/>
      </xdr:nvSpPr>
      <xdr:spPr>
        <a:xfrm>
          <a:off x="7313448" y="19880191"/>
          <a:ext cx="180000" cy="180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2144842</xdr:colOff>
      <xdr:row>122</xdr:row>
      <xdr:rowOff>40072</xdr:rowOff>
    </xdr:from>
    <xdr:to>
      <xdr:col>0</xdr:col>
      <xdr:colOff>2324842</xdr:colOff>
      <xdr:row>122</xdr:row>
      <xdr:rowOff>220072</xdr:rowOff>
    </xdr:to>
    <xdr:sp macro="" textlink="">
      <xdr:nvSpPr>
        <xdr:cNvPr id="151" name="150 Elipse">
          <a:extLst>
            <a:ext uri="{FF2B5EF4-FFF2-40B4-BE49-F238E27FC236}">
              <a16:creationId xmlns:a16="http://schemas.microsoft.com/office/drawing/2014/main" id="{00000000-0008-0000-0900-000097000000}"/>
            </a:ext>
          </a:extLst>
        </xdr:cNvPr>
        <xdr:cNvSpPr/>
      </xdr:nvSpPr>
      <xdr:spPr>
        <a:xfrm>
          <a:off x="2144842" y="27961929"/>
          <a:ext cx="180000" cy="180000"/>
        </a:xfrm>
        <a:prstGeom prst="ellipse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2149081</xdr:colOff>
      <xdr:row>121</xdr:row>
      <xdr:rowOff>33721</xdr:rowOff>
    </xdr:from>
    <xdr:to>
      <xdr:col>0</xdr:col>
      <xdr:colOff>2329081</xdr:colOff>
      <xdr:row>121</xdr:row>
      <xdr:rowOff>213721</xdr:rowOff>
    </xdr:to>
    <xdr:sp macro="" textlink="">
      <xdr:nvSpPr>
        <xdr:cNvPr id="152" name="151 Elipse">
          <a:extLst>
            <a:ext uri="{FF2B5EF4-FFF2-40B4-BE49-F238E27FC236}">
              <a16:creationId xmlns:a16="http://schemas.microsoft.com/office/drawing/2014/main" id="{00000000-0008-0000-0900-000098000000}"/>
            </a:ext>
          </a:extLst>
        </xdr:cNvPr>
        <xdr:cNvSpPr/>
      </xdr:nvSpPr>
      <xdr:spPr>
        <a:xfrm>
          <a:off x="2149081" y="27724257"/>
          <a:ext cx="180000" cy="180000"/>
        </a:xfrm>
        <a:prstGeom prst="ellipse">
          <a:avLst/>
        </a:prstGeom>
        <a:solidFill>
          <a:srgbClr val="FFC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2142734</xdr:colOff>
      <xdr:row>120</xdr:row>
      <xdr:rowOff>27370</xdr:rowOff>
    </xdr:from>
    <xdr:to>
      <xdr:col>0</xdr:col>
      <xdr:colOff>2322734</xdr:colOff>
      <xdr:row>120</xdr:row>
      <xdr:rowOff>207370</xdr:rowOff>
    </xdr:to>
    <xdr:sp macro="" textlink="">
      <xdr:nvSpPr>
        <xdr:cNvPr id="153" name="152 Elipse">
          <a:extLst>
            <a:ext uri="{FF2B5EF4-FFF2-40B4-BE49-F238E27FC236}">
              <a16:creationId xmlns:a16="http://schemas.microsoft.com/office/drawing/2014/main" id="{00000000-0008-0000-0900-000099000000}"/>
            </a:ext>
          </a:extLst>
        </xdr:cNvPr>
        <xdr:cNvSpPr/>
      </xdr:nvSpPr>
      <xdr:spPr>
        <a:xfrm>
          <a:off x="2142734" y="27486584"/>
          <a:ext cx="180000" cy="180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2144842</xdr:colOff>
      <xdr:row>140</xdr:row>
      <xdr:rowOff>40072</xdr:rowOff>
    </xdr:from>
    <xdr:to>
      <xdr:col>5</xdr:col>
      <xdr:colOff>2324842</xdr:colOff>
      <xdr:row>140</xdr:row>
      <xdr:rowOff>220072</xdr:rowOff>
    </xdr:to>
    <xdr:sp macro="" textlink="">
      <xdr:nvSpPr>
        <xdr:cNvPr id="154" name="153 Elipse">
          <a:extLst>
            <a:ext uri="{FF2B5EF4-FFF2-40B4-BE49-F238E27FC236}">
              <a16:creationId xmlns:a16="http://schemas.microsoft.com/office/drawing/2014/main" id="{00000000-0008-0000-0900-00009A000000}"/>
            </a:ext>
          </a:extLst>
        </xdr:cNvPr>
        <xdr:cNvSpPr/>
      </xdr:nvSpPr>
      <xdr:spPr>
        <a:xfrm>
          <a:off x="7315556" y="32098501"/>
          <a:ext cx="180000" cy="180000"/>
        </a:xfrm>
        <a:prstGeom prst="ellipse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2149081</xdr:colOff>
      <xdr:row>139</xdr:row>
      <xdr:rowOff>33721</xdr:rowOff>
    </xdr:from>
    <xdr:to>
      <xdr:col>5</xdr:col>
      <xdr:colOff>2329081</xdr:colOff>
      <xdr:row>139</xdr:row>
      <xdr:rowOff>213721</xdr:rowOff>
    </xdr:to>
    <xdr:sp macro="" textlink="">
      <xdr:nvSpPr>
        <xdr:cNvPr id="155" name="154 Elipse">
          <a:extLst>
            <a:ext uri="{FF2B5EF4-FFF2-40B4-BE49-F238E27FC236}">
              <a16:creationId xmlns:a16="http://schemas.microsoft.com/office/drawing/2014/main" id="{00000000-0008-0000-0900-00009B000000}"/>
            </a:ext>
          </a:extLst>
        </xdr:cNvPr>
        <xdr:cNvSpPr/>
      </xdr:nvSpPr>
      <xdr:spPr>
        <a:xfrm>
          <a:off x="7319795" y="31860828"/>
          <a:ext cx="180000" cy="180000"/>
        </a:xfrm>
        <a:prstGeom prst="ellipse">
          <a:avLst/>
        </a:prstGeom>
        <a:solidFill>
          <a:srgbClr val="FFC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2142734</xdr:colOff>
      <xdr:row>138</xdr:row>
      <xdr:rowOff>27370</xdr:rowOff>
    </xdr:from>
    <xdr:to>
      <xdr:col>5</xdr:col>
      <xdr:colOff>2322734</xdr:colOff>
      <xdr:row>138</xdr:row>
      <xdr:rowOff>207370</xdr:rowOff>
    </xdr:to>
    <xdr:sp macro="" textlink="">
      <xdr:nvSpPr>
        <xdr:cNvPr id="156" name="155 Elipse">
          <a:extLst>
            <a:ext uri="{FF2B5EF4-FFF2-40B4-BE49-F238E27FC236}">
              <a16:creationId xmlns:a16="http://schemas.microsoft.com/office/drawing/2014/main" id="{00000000-0008-0000-0900-00009C000000}"/>
            </a:ext>
          </a:extLst>
        </xdr:cNvPr>
        <xdr:cNvSpPr/>
      </xdr:nvSpPr>
      <xdr:spPr>
        <a:xfrm>
          <a:off x="7313448" y="31623156"/>
          <a:ext cx="180000" cy="180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2144842</xdr:colOff>
      <xdr:row>171</xdr:row>
      <xdr:rowOff>40072</xdr:rowOff>
    </xdr:from>
    <xdr:to>
      <xdr:col>5</xdr:col>
      <xdr:colOff>2324842</xdr:colOff>
      <xdr:row>171</xdr:row>
      <xdr:rowOff>220072</xdr:rowOff>
    </xdr:to>
    <xdr:sp macro="" textlink="">
      <xdr:nvSpPr>
        <xdr:cNvPr id="157" name="156 Elipse">
          <a:extLst>
            <a:ext uri="{FF2B5EF4-FFF2-40B4-BE49-F238E27FC236}">
              <a16:creationId xmlns:a16="http://schemas.microsoft.com/office/drawing/2014/main" id="{00000000-0008-0000-0900-00009D000000}"/>
            </a:ext>
          </a:extLst>
        </xdr:cNvPr>
        <xdr:cNvSpPr/>
      </xdr:nvSpPr>
      <xdr:spPr>
        <a:xfrm>
          <a:off x="7315556" y="39242251"/>
          <a:ext cx="180000" cy="180000"/>
        </a:xfrm>
        <a:prstGeom prst="ellipse">
          <a:avLst/>
        </a:prstGeom>
        <a:solidFill>
          <a:srgbClr val="C00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2149081</xdr:colOff>
      <xdr:row>170</xdr:row>
      <xdr:rowOff>33721</xdr:rowOff>
    </xdr:from>
    <xdr:to>
      <xdr:col>5</xdr:col>
      <xdr:colOff>2329081</xdr:colOff>
      <xdr:row>170</xdr:row>
      <xdr:rowOff>213721</xdr:rowOff>
    </xdr:to>
    <xdr:sp macro="" textlink="">
      <xdr:nvSpPr>
        <xdr:cNvPr id="158" name="157 Elipse">
          <a:extLst>
            <a:ext uri="{FF2B5EF4-FFF2-40B4-BE49-F238E27FC236}">
              <a16:creationId xmlns:a16="http://schemas.microsoft.com/office/drawing/2014/main" id="{00000000-0008-0000-0900-00009E000000}"/>
            </a:ext>
          </a:extLst>
        </xdr:cNvPr>
        <xdr:cNvSpPr/>
      </xdr:nvSpPr>
      <xdr:spPr>
        <a:xfrm>
          <a:off x="7319795" y="39004578"/>
          <a:ext cx="180000" cy="180000"/>
        </a:xfrm>
        <a:prstGeom prst="ellipse">
          <a:avLst/>
        </a:prstGeom>
        <a:solidFill>
          <a:srgbClr val="FFC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2142734</xdr:colOff>
      <xdr:row>169</xdr:row>
      <xdr:rowOff>27370</xdr:rowOff>
    </xdr:from>
    <xdr:to>
      <xdr:col>5</xdr:col>
      <xdr:colOff>2322734</xdr:colOff>
      <xdr:row>169</xdr:row>
      <xdr:rowOff>207370</xdr:rowOff>
    </xdr:to>
    <xdr:sp macro="" textlink="">
      <xdr:nvSpPr>
        <xdr:cNvPr id="159" name="158 Elipse">
          <a:extLst>
            <a:ext uri="{FF2B5EF4-FFF2-40B4-BE49-F238E27FC236}">
              <a16:creationId xmlns:a16="http://schemas.microsoft.com/office/drawing/2014/main" id="{00000000-0008-0000-0900-00009F000000}"/>
            </a:ext>
          </a:extLst>
        </xdr:cNvPr>
        <xdr:cNvSpPr/>
      </xdr:nvSpPr>
      <xdr:spPr>
        <a:xfrm>
          <a:off x="7313448" y="38766906"/>
          <a:ext cx="180000" cy="180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25485</xdr:colOff>
      <xdr:row>42</xdr:row>
      <xdr:rowOff>47737</xdr:rowOff>
    </xdr:from>
    <xdr:to>
      <xdr:col>3</xdr:col>
      <xdr:colOff>169485</xdr:colOff>
      <xdr:row>42</xdr:row>
      <xdr:rowOff>191737</xdr:rowOff>
    </xdr:to>
    <xdr:sp macro="" textlink="">
      <xdr:nvSpPr>
        <xdr:cNvPr id="161" name="33 Elipse">
          <a:extLst>
            <a:ext uri="{FF2B5EF4-FFF2-40B4-BE49-F238E27FC236}">
              <a16:creationId xmlns:a16="http://schemas.microsoft.com/office/drawing/2014/main" id="{00000000-0008-0000-0900-0000A1000000}"/>
            </a:ext>
          </a:extLst>
        </xdr:cNvPr>
        <xdr:cNvSpPr/>
      </xdr:nvSpPr>
      <xdr:spPr>
        <a:xfrm>
          <a:off x="4502235" y="9450273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22760</xdr:colOff>
      <xdr:row>54</xdr:row>
      <xdr:rowOff>36366</xdr:rowOff>
    </xdr:from>
    <xdr:to>
      <xdr:col>8</xdr:col>
      <xdr:colOff>166760</xdr:colOff>
      <xdr:row>54</xdr:row>
      <xdr:rowOff>180366</xdr:rowOff>
    </xdr:to>
    <xdr:sp macro="" textlink="">
      <xdr:nvSpPr>
        <xdr:cNvPr id="162" name="67 Elipse">
          <a:extLst>
            <a:ext uri="{FF2B5EF4-FFF2-40B4-BE49-F238E27FC236}">
              <a16:creationId xmlns:a16="http://schemas.microsoft.com/office/drawing/2014/main" id="{869FF14D-6D11-4816-BCC7-22E96A0EDD8B}"/>
            </a:ext>
          </a:extLst>
        </xdr:cNvPr>
        <xdr:cNvSpPr/>
      </xdr:nvSpPr>
      <xdr:spPr>
        <a:xfrm>
          <a:off x="9670224" y="12282795"/>
          <a:ext cx="144000" cy="144000"/>
        </a:xfrm>
        <a:prstGeom prst="ellipse">
          <a:avLst/>
        </a:prstGeom>
        <a:solidFill>
          <a:srgbClr val="00800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80</xdr:row>
      <xdr:rowOff>0</xdr:rowOff>
    </xdr:from>
    <xdr:to>
      <xdr:col>8</xdr:col>
      <xdr:colOff>1057275</xdr:colOff>
      <xdr:row>84</xdr:row>
      <xdr:rowOff>219075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21174075"/>
          <a:ext cx="1057275" cy="263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%20DICIEMBRE/PPL%20Consolidado%20General%203112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&#232;s/Documents/TRABAJOS%20NELLY/TRABAJOS%202020/INFORMES%20ESTADISTICOS%202020/12.%20INFORME%20ESTADISTICO%20DICIEMBRE%202020/TABLAS%20DICIEMB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p_Juridico_Sisipec2"/>
      <sheetName val="PPL_ERON_x_Código"/>
      <sheetName val="PPL_ERON_x_Hacinamiento"/>
      <sheetName val="PPL_ERON_x_Nombre"/>
      <sheetName val="PPL_ERON_x_Cantidad"/>
      <sheetName val="Extracto_Intramural"/>
      <sheetName val="Niv. Hacinamiento"/>
      <sheetName val="Resumen  propuesta"/>
      <sheetName val="intervenciones"/>
      <sheetName val="Rep_Conteo_Fisico_Sisipec2"/>
      <sheetName val="reporte my Gutierrez"/>
      <sheetName val="Historial"/>
      <sheetName val="HistorialResumen"/>
      <sheetName val="Historial_PPL_ERON_x_Código"/>
      <sheetName val="Prueba de PPL_ERON_x_Código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A2" t="str">
            <v>1</v>
          </cell>
        </row>
        <row r="3">
          <cell r="X3" t="str">
            <v/>
          </cell>
        </row>
        <row r="4">
          <cell r="X4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ON DICIEMBRE"/>
      <sheetName val="Hoja2"/>
      <sheetName val="PARTE"/>
      <sheetName val="TABLA 1 POBLACION"/>
      <sheetName val="TABLA 2-5 TASAS"/>
      <sheetName val="TABLA 6. CLASIFICACION"/>
      <sheetName val="TABLA 7-8 CATEGORIZACION"/>
      <sheetName val="TABLA 9 ERON GENERACION"/>
      <sheetName val="TABLA 10. INFRAESTRUC REGION"/>
      <sheetName val="TABLA 11-16 UBICACION ERON "/>
      <sheetName val="Hoja3"/>
      <sheetName val="TABLA 17.  RANGO CUPOS"/>
      <sheetName val="TABLA 18. HACINAMIENTO"/>
      <sheetName val="ERON +"/>
      <sheetName val="TABLAS 19 - 24  ERON MAS"/>
      <sheetName val="TABLAS 19 - 23  ERON MAS "/>
      <sheetName val="TABLA 24-25. GENERO "/>
      <sheetName val="TABLA 26. JURIDICA"/>
      <sheetName val="TAB 27-29. MES-AÑOS "/>
      <sheetName val="Hoja1"/>
      <sheetName val="TABLA 30. EDAD  "/>
      <sheetName val="TABLA 31. ESCOLARIDAD"/>
      <sheetName val="Hoja4"/>
      <sheetName val="TABLA 32- 33. FUNC PUBLICOS"/>
      <sheetName val="tablas 34-41 REGIONALES  "/>
      <sheetName val="TABLA 42. DELITOS INTERNOS "/>
      <sheetName val="TAB 43-56. CONDICION EXCEPCIONA"/>
      <sheetName val="TABLA 57-58 TEE "/>
      <sheetName val="TABLA 59. DOMICILIARIA"/>
      <sheetName val="TABLA 60. DELITOS DOMICILIARIA"/>
      <sheetName val="TABLA 61. VIGIL ELECTRON"/>
      <sheetName val="TABLA 62. DELITOS VIG ELECTRON"/>
      <sheetName val="TABLA 63-65. REINCIDENCIA "/>
      <sheetName val="TABLA 66. PRESUPUESTO"/>
      <sheetName val="TABLA 67.RESUMEN"/>
    </sheetNames>
    <sheetDataSet>
      <sheetData sheetId="0"/>
      <sheetData sheetId="1"/>
      <sheetData sheetId="2">
        <row r="18">
          <cell r="D18" t="str">
            <v>EPMSCSOG-RM-JP Sogamoso</v>
          </cell>
        </row>
      </sheetData>
      <sheetData sheetId="3">
        <row r="4">
          <cell r="C4">
            <v>96285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9">
          <cell r="C39" t="str">
            <v>EPMSCLET Leticia</v>
          </cell>
        </row>
        <row r="131">
          <cell r="D131">
            <v>136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>
        <row r="14">
          <cell r="D14">
            <v>16007</v>
          </cell>
        </row>
      </sheetData>
      <sheetData sheetId="33"/>
      <sheetData sheetId="3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ELLY SAAVEDRA ARDILA" refreshedDate="44615.61398425926" createdVersion="4" refreshedVersion="6" minRefreshableVersion="3" recordCount="133">
  <cacheSource type="worksheet">
    <worksheetSource ref="A1:B134" sheet="ERON 2021"/>
  </cacheSource>
  <cacheFields count="2">
    <cacheField name="ERON" numFmtId="0">
      <sharedItems/>
    </cacheField>
    <cacheField name="CLASIFIC" numFmtId="0">
      <sharedItems count="24">
        <s v="EPMSC"/>
        <s v="CPMS"/>
        <s v="COBOG"/>
        <s v="CPAMSM"/>
        <s v="CAMIS"/>
        <s v="CPAMS"/>
        <s v="EPC"/>
        <s v="PMS"/>
        <s v="CPMMS"/>
        <s v="CPMSM"/>
        <s v="COJAM"/>
        <s v="CMS"/>
        <s v="EPMS"/>
        <s v="COCUC"/>
        <s v="COPED"/>
        <s v="RM"/>
        <s v="COIBA"/>
        <s v="EC" u="1"/>
        <s v="CPAMSM-ERE" u="1"/>
        <s v="EPAMS" u="1"/>
        <s v="COMEB" u="1"/>
        <s v="EPCYO" u="1"/>
        <s v="EP" u="1"/>
        <s v="ER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3">
  <r>
    <s v="EPMSCLET Leticia"/>
    <x v="0"/>
  </r>
  <r>
    <s v="EPMSCSRV Santa Rosa de Viterbo"/>
    <x v="0"/>
  </r>
  <r>
    <s v="CPMSCHI Chiquinquirá"/>
    <x v="1"/>
  </r>
  <r>
    <s v="EPMSCDUI Duitama"/>
    <x v="0"/>
  </r>
  <r>
    <s v="CPMSGAR Garagoa"/>
    <x v="1"/>
  </r>
  <r>
    <s v="EPMSCGTQ Guateque"/>
    <x v="0"/>
  </r>
  <r>
    <s v="CPMSMOQ Moniquirá"/>
    <x v="1"/>
  </r>
  <r>
    <s v="CPMSRAM Ramiriquí"/>
    <x v="1"/>
  </r>
  <r>
    <s v="EPMSCSOG-RM-JP Sogamoso"/>
    <x v="0"/>
  </r>
  <r>
    <s v="COBOG-ERE-JP Bogotá"/>
    <x v="2"/>
  </r>
  <r>
    <s v="CPMSBOG - Bogotá"/>
    <x v="1"/>
  </r>
  <r>
    <s v="EPMSCCAQ Cáqueza"/>
    <x v="0"/>
  </r>
  <r>
    <s v="CPMSCHO Chocontá"/>
    <x v="1"/>
  </r>
  <r>
    <s v="CPMSFUS - CAM Fusagasugá"/>
    <x v="1"/>
  </r>
  <r>
    <s v="CPMSGAC Gachetá"/>
    <x v="1"/>
  </r>
  <r>
    <s v="CPMSLMS La Mesa"/>
    <x v="1"/>
  </r>
  <r>
    <s v="CPMSUBA Ubaté"/>
    <x v="1"/>
  </r>
  <r>
    <s v="CPMSVILL Villeta"/>
    <x v="1"/>
  </r>
  <r>
    <s v="EPMSCZIP Zipaquirá"/>
    <x v="0"/>
  </r>
  <r>
    <s v="CPAMSMBOG-ERE Bogotá"/>
    <x v="3"/>
  </r>
  <r>
    <s v="CAMISACS Acacias"/>
    <x v="4"/>
  </r>
  <r>
    <s v="EPMSCVILLV Villavicencio"/>
    <x v="0"/>
  </r>
  <r>
    <s v="EPMSCGRA Granada"/>
    <x v="0"/>
  </r>
  <r>
    <s v="CPMSMEL Melgar"/>
    <x v="1"/>
  </r>
  <r>
    <s v="EPMSCGIR Girardot"/>
    <x v="0"/>
  </r>
  <r>
    <s v="EPMSCNEI Neiva"/>
    <x v="0"/>
  </r>
  <r>
    <s v="CPMSGAZ Garzón"/>
    <x v="1"/>
  </r>
  <r>
    <s v="EPMSCLPL La Plata"/>
    <x v="0"/>
  </r>
  <r>
    <s v="EPMSCPIT Pitalito"/>
    <x v="0"/>
  </r>
  <r>
    <s v="CPMSFLO-ERE-RM Florencia"/>
    <x v="1"/>
  </r>
  <r>
    <s v="EPMSCCHA Chaparral"/>
    <x v="0"/>
  </r>
  <r>
    <s v="CPMSESP Espinal"/>
    <x v="1"/>
  </r>
  <r>
    <s v="CPMSPUR Purificación"/>
    <x v="1"/>
  </r>
  <r>
    <s v="CPMSACS - RM Acacias"/>
    <x v="1"/>
  </r>
  <r>
    <s v="CPMSTUN Tunja"/>
    <x v="1"/>
  </r>
  <r>
    <s v="CPAMSEB El Barne"/>
    <x v="5"/>
  </r>
  <r>
    <s v="CPMSPDA Paz de Ariporo"/>
    <x v="1"/>
  </r>
  <r>
    <s v="EPCYOP Yopal"/>
    <x v="6"/>
  </r>
  <r>
    <s v="PMSLEGU La Esperanza de Guaduas"/>
    <x v="7"/>
  </r>
  <r>
    <s v="PMSHELIC Las Heliconias "/>
    <x v="7"/>
  </r>
  <r>
    <s v="EPCGUM El Guamo"/>
    <x v="6"/>
  </r>
  <r>
    <s v="CPMMSFFA Facatativá"/>
    <x v="8"/>
  </r>
  <r>
    <s v="EPMSCBOL Bolívar Cauca"/>
    <x v="0"/>
  </r>
  <r>
    <s v="CPMSEBO El Bordo"/>
    <x v="1"/>
  </r>
  <r>
    <s v="EPMSCPTE Puerto Tejada"/>
    <x v="0"/>
  </r>
  <r>
    <s v="EPMSCSDQ Santander de Quilichao"/>
    <x v="0"/>
  </r>
  <r>
    <s v="EPMSCSIL Silvia"/>
    <x v="0"/>
  </r>
  <r>
    <s v="CPMSMPY Popayán"/>
    <x v="9"/>
  </r>
  <r>
    <s v="EPMSCPAS-RM Pasto"/>
    <x v="0"/>
  </r>
  <r>
    <s v="CPMSIPI-RM Ipiales"/>
    <x v="1"/>
  </r>
  <r>
    <s v="EPMSCLUN La Unión"/>
    <x v="0"/>
  </r>
  <r>
    <s v="EPMSCTUQ Túquerres"/>
    <x v="0"/>
  </r>
  <r>
    <s v="EPMSCTUM Tumaco"/>
    <x v="0"/>
  </r>
  <r>
    <s v="CPAMSPAL Palmira"/>
    <x v="5"/>
  </r>
  <r>
    <s v="EPMSCCAL-ERE Cali"/>
    <x v="0"/>
  </r>
  <r>
    <s v="EPMSCBUG Buga"/>
    <x v="0"/>
  </r>
  <r>
    <s v="EPMSCBUE Buenaventura"/>
    <x v="0"/>
  </r>
  <r>
    <s v="CPMSTUL Tuluá"/>
    <x v="1"/>
  </r>
  <r>
    <s v="CPAMSPY-ERE Popayán"/>
    <x v="5"/>
  </r>
  <r>
    <s v="EPMSCCAR Cartago"/>
    <x v="0"/>
  </r>
  <r>
    <s v="EPMSCCAI Caicedonia"/>
    <x v="0"/>
  </r>
  <r>
    <s v="EPMSCROL Roldanillo"/>
    <x v="0"/>
  </r>
  <r>
    <s v="EPMSCSEV Sevilla"/>
    <x v="0"/>
  </r>
  <r>
    <s v="COJAM Jamundí"/>
    <x v="10"/>
  </r>
  <r>
    <s v="CMSBA-JP Barranquilla"/>
    <x v="11"/>
  </r>
  <r>
    <s v="CPMSSAB-ERE Sabanalarga"/>
    <x v="1"/>
  </r>
  <r>
    <s v="EPMSCCAR Cartagena"/>
    <x v="0"/>
  </r>
  <r>
    <s v="EPMSCMAG Magangué"/>
    <x v="0"/>
  </r>
  <r>
    <s v="EPMSCVAL-ERE Valledupar"/>
    <x v="0"/>
  </r>
  <r>
    <s v="EPMSCMON Montería"/>
    <x v="0"/>
  </r>
  <r>
    <s v="EPMSCRIO Riohacha"/>
    <x v="0"/>
  </r>
  <r>
    <s v="EPMSCSM Santa Marta"/>
    <x v="0"/>
  </r>
  <r>
    <s v="EPMSCEBA El Banco"/>
    <x v="0"/>
  </r>
  <r>
    <s v="EPMSCSA San Andrés"/>
    <x v="0"/>
  </r>
  <r>
    <s v="EPMSCSIN Sincelejo"/>
    <x v="0"/>
  </r>
  <r>
    <s v="CPMSCOR Corozal"/>
    <x v="1"/>
  </r>
  <r>
    <s v="EPMSCBA-ERE Barranquilla"/>
    <x v="0"/>
  </r>
  <r>
    <s v="CPAMSVAL Valledupar"/>
    <x v="5"/>
  </r>
  <r>
    <s v="EPCTALT Tierralta"/>
    <x v="6"/>
  </r>
  <r>
    <s v="EPMSCARA Arauca"/>
    <x v="0"/>
  </r>
  <r>
    <s v="EPMSCAGU Aguachica"/>
    <x v="0"/>
  </r>
  <r>
    <s v="EPMSCPAM Pamplona"/>
    <x v="0"/>
  </r>
  <r>
    <s v="EPMSCOC Ocaña"/>
    <x v="0"/>
  </r>
  <r>
    <s v="CPMSBUC-ERE-JP Bucaramanga"/>
    <x v="1"/>
  </r>
  <r>
    <s v="EPMSCBBJ Barrancabermeja"/>
    <x v="0"/>
  </r>
  <r>
    <s v="EPMSCMAL Málaga"/>
    <x v="0"/>
  </r>
  <r>
    <s v="EPMSSGI San Gil"/>
    <x v="12"/>
  </r>
  <r>
    <s v="EPMSCSOC Socorro"/>
    <x v="0"/>
  </r>
  <r>
    <s v="CPMSSVC San Vicente de Chucurí"/>
    <x v="1"/>
  </r>
  <r>
    <s v="EPMSCVEL Vélez"/>
    <x v="0"/>
  </r>
  <r>
    <s v="CPMSMBUC Bucaramanga"/>
    <x v="9"/>
  </r>
  <r>
    <s v="CPAMSGIR Girón"/>
    <x v="5"/>
  </r>
  <r>
    <s v="COCUC - ERE Cúcuta"/>
    <x v="13"/>
  </r>
  <r>
    <s v="CPAMSPA-ERE La Paz"/>
    <x v="5"/>
  </r>
  <r>
    <s v="CPMSBEL Bello"/>
    <x v="1"/>
  </r>
  <r>
    <s v="EPMSCAND Andes"/>
    <x v="0"/>
  </r>
  <r>
    <s v="EPMSCBOV Bolívar -Antioquia"/>
    <x v="0"/>
  </r>
  <r>
    <s v="EPMSCCAU Caucasia"/>
    <x v="0"/>
  </r>
  <r>
    <s v="CPMSJER Jerico"/>
    <x v="1"/>
  </r>
  <r>
    <s v="EPMSCLCJ La Ceja"/>
    <x v="0"/>
  </r>
  <r>
    <s v="EPMSCPBE Puerto Berrio"/>
    <x v="0"/>
  </r>
  <r>
    <s v="EPMSCSBA Santa Bárbara"/>
    <x v="0"/>
  </r>
  <r>
    <s v="CPMSSDO Santo Domingo"/>
    <x v="1"/>
  </r>
  <r>
    <s v="EPMSCSRO Santa Rosa de Osos"/>
    <x v="0"/>
  </r>
  <r>
    <s v="EPMSCSON Sonson"/>
    <x v="0"/>
  </r>
  <r>
    <s v="EPMSCTAM Támesis"/>
    <x v="0"/>
  </r>
  <r>
    <s v="EPMSCYAR Yarumal"/>
    <x v="0"/>
  </r>
  <r>
    <s v="EPMSCQUI Quibdó"/>
    <x v="0"/>
  </r>
  <r>
    <s v="CPMSAPD Apartadó"/>
    <x v="1"/>
  </r>
  <r>
    <s v="EPMSCIST Istmina"/>
    <x v="0"/>
  </r>
  <r>
    <s v="CPMSPTR Puerto Triunfo"/>
    <x v="1"/>
  </r>
  <r>
    <s v="COPED Medellín Pedregal"/>
    <x v="14"/>
  </r>
  <r>
    <s v="EPMSCMAN Manizales"/>
    <x v="0"/>
  </r>
  <r>
    <s v="EPMSCANS Anserma"/>
    <x v="0"/>
  </r>
  <r>
    <s v="EPMSCAGD Aguadas"/>
    <x v="0"/>
  </r>
  <r>
    <s v="EPMSCPAR Pácora"/>
    <x v="0"/>
  </r>
  <r>
    <s v="EPMSCPEN Pensilvania"/>
    <x v="0"/>
  </r>
  <r>
    <s v="EPMSCRIS Riosucio"/>
    <x v="0"/>
  </r>
  <r>
    <s v="EPMSCSAL Salamina"/>
    <x v="0"/>
  </r>
  <r>
    <s v="RMMAN Manizales"/>
    <x v="15"/>
  </r>
  <r>
    <s v="EPMSCCAL Calarcá"/>
    <x v="0"/>
  </r>
  <r>
    <s v="EPMSCARM Armenia"/>
    <x v="0"/>
  </r>
  <r>
    <s v="RMARM Armenia"/>
    <x v="15"/>
  </r>
  <r>
    <s v="EPMSCPEI-ERE Pereira"/>
    <x v="0"/>
  </r>
  <r>
    <s v="EPMSCSRC Santa Rosa de Cabal"/>
    <x v="0"/>
  </r>
  <r>
    <s v="RMPEI Pereira"/>
    <x v="15"/>
  </r>
  <r>
    <s v="EPMSCARG Armero Guayabal"/>
    <x v="0"/>
  </r>
  <r>
    <s v="EPMSCFRN Fresno"/>
    <x v="0"/>
  </r>
  <r>
    <s v="EPMSCHON Honda"/>
    <x v="0"/>
  </r>
  <r>
    <s v="EPMSCLIB Líbano"/>
    <x v="0"/>
  </r>
  <r>
    <s v="EPMSCPBO Puerto Boyacá"/>
    <x v="0"/>
  </r>
  <r>
    <s v="CPAMSLDO-ERE La Dorada"/>
    <x v="5"/>
  </r>
  <r>
    <s v="COIBA-ERE Ibagué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outline="1" outlineData="1" multipleFieldFilters="0" fieldListSortAscending="1">
  <location ref="A3:B21" firstHeaderRow="1" firstDataRow="1" firstDataCol="1"/>
  <pivotFields count="2">
    <pivotField dataField="1" showAll="0"/>
    <pivotField axis="axisRow" showAll="0" sortType="ascending">
      <items count="25">
        <item x="4"/>
        <item x="11"/>
        <item x="2"/>
        <item x="13"/>
        <item x="16"/>
        <item x="10"/>
        <item m="1" x="20"/>
        <item x="14"/>
        <item x="5"/>
        <item x="3"/>
        <item m="1" x="18"/>
        <item x="8"/>
        <item x="1"/>
        <item x="9"/>
        <item m="1" x="17"/>
        <item m="1" x="22"/>
        <item m="1" x="19"/>
        <item x="6"/>
        <item m="1" x="21"/>
        <item x="12"/>
        <item x="0"/>
        <item m="1" x="23"/>
        <item x="7"/>
        <item x="15"/>
        <item t="default"/>
      </items>
    </pivotField>
  </pivotFields>
  <rowFields count="1">
    <field x="1"/>
  </rowFields>
  <rowItems count="18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1"/>
    </i>
    <i>
      <x v="12"/>
    </i>
    <i>
      <x v="13"/>
    </i>
    <i>
      <x v="17"/>
    </i>
    <i>
      <x v="19"/>
    </i>
    <i>
      <x v="20"/>
    </i>
    <i>
      <x v="22"/>
    </i>
    <i>
      <x v="23"/>
    </i>
    <i t="grand">
      <x/>
    </i>
  </rowItems>
  <colItems count="1">
    <i/>
  </colItems>
  <dataFields count="1">
    <dataField name="Cuenta de ERO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dane.gov.co/index.php/estadisticas-por-tema/demografia-y-poblacion/proyecciones-de-poblacion" TargetMode="External"/><Relationship Id="rId1" Type="http://schemas.openxmlformats.org/officeDocument/2006/relationships/hyperlink" Target="https://www.dane.gov.co/reloj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1:BR134"/>
  <sheetViews>
    <sheetView topLeftCell="A17" workbookViewId="0">
      <selection activeCell="B42" sqref="B42"/>
    </sheetView>
  </sheetViews>
  <sheetFormatPr baseColWidth="10" defaultRowHeight="12.75"/>
  <cols>
    <col min="1" max="1" width="37.5703125" style="248" customWidth="1"/>
    <col min="2" max="2" width="9.5703125" style="704" customWidth="1"/>
    <col min="3" max="16384" width="11.42578125" style="248"/>
  </cols>
  <sheetData>
    <row r="1" spans="1:2">
      <c r="A1" s="247" t="s">
        <v>57</v>
      </c>
      <c r="B1" s="703" t="s">
        <v>322</v>
      </c>
    </row>
    <row r="2" spans="1:2">
      <c r="A2" s="249" t="s">
        <v>454</v>
      </c>
      <c r="B2" s="704" t="s">
        <v>30</v>
      </c>
    </row>
    <row r="3" spans="1:2">
      <c r="A3" s="249" t="s">
        <v>736</v>
      </c>
      <c r="B3" s="704" t="s">
        <v>30</v>
      </c>
    </row>
    <row r="4" spans="1:2">
      <c r="A4" s="249" t="s">
        <v>455</v>
      </c>
      <c r="B4" s="704" t="s">
        <v>135</v>
      </c>
    </row>
    <row r="5" spans="1:2">
      <c r="A5" s="249" t="s">
        <v>456</v>
      </c>
      <c r="B5" s="704" t="s">
        <v>30</v>
      </c>
    </row>
    <row r="6" spans="1:2">
      <c r="A6" s="249" t="s">
        <v>457</v>
      </c>
      <c r="B6" s="704" t="s">
        <v>135</v>
      </c>
    </row>
    <row r="7" spans="1:2">
      <c r="A7" s="249" t="s">
        <v>458</v>
      </c>
      <c r="B7" s="704" t="s">
        <v>30</v>
      </c>
    </row>
    <row r="8" spans="1:2">
      <c r="A8" s="249" t="s">
        <v>459</v>
      </c>
      <c r="B8" s="704" t="s">
        <v>135</v>
      </c>
    </row>
    <row r="9" spans="1:2">
      <c r="A9" s="249" t="s">
        <v>460</v>
      </c>
      <c r="B9" s="704" t="s">
        <v>135</v>
      </c>
    </row>
    <row r="10" spans="1:2">
      <c r="A10" s="249" t="s">
        <v>461</v>
      </c>
      <c r="B10" s="704" t="s">
        <v>30</v>
      </c>
    </row>
    <row r="11" spans="1:2">
      <c r="A11" s="249" t="s">
        <v>462</v>
      </c>
      <c r="B11" s="704" t="s">
        <v>463</v>
      </c>
    </row>
    <row r="12" spans="1:2">
      <c r="A12" s="249" t="s">
        <v>464</v>
      </c>
      <c r="B12" s="704" t="s">
        <v>135</v>
      </c>
    </row>
    <row r="13" spans="1:2">
      <c r="A13" s="249" t="s">
        <v>465</v>
      </c>
      <c r="B13" s="704" t="s">
        <v>30</v>
      </c>
    </row>
    <row r="14" spans="1:2">
      <c r="A14" s="249" t="s">
        <v>466</v>
      </c>
      <c r="B14" s="704" t="s">
        <v>135</v>
      </c>
    </row>
    <row r="15" spans="1:2">
      <c r="A15" s="249" t="s">
        <v>606</v>
      </c>
      <c r="B15" s="704" t="s">
        <v>135</v>
      </c>
    </row>
    <row r="16" spans="1:2">
      <c r="A16" s="249" t="s">
        <v>467</v>
      </c>
      <c r="B16" s="704" t="s">
        <v>135</v>
      </c>
    </row>
    <row r="17" spans="1:2">
      <c r="A17" s="249" t="s">
        <v>468</v>
      </c>
      <c r="B17" s="704" t="s">
        <v>135</v>
      </c>
    </row>
    <row r="18" spans="1:2">
      <c r="A18" s="249" t="s">
        <v>469</v>
      </c>
      <c r="B18" s="704" t="s">
        <v>135</v>
      </c>
    </row>
    <row r="19" spans="1:2">
      <c r="A19" s="249" t="s">
        <v>470</v>
      </c>
      <c r="B19" s="704" t="s">
        <v>135</v>
      </c>
    </row>
    <row r="20" spans="1:2">
      <c r="A20" s="249" t="s">
        <v>471</v>
      </c>
      <c r="B20" s="704" t="s">
        <v>30</v>
      </c>
    </row>
    <row r="21" spans="1:2">
      <c r="A21" s="249" t="s">
        <v>472</v>
      </c>
      <c r="B21" s="704" t="s">
        <v>331</v>
      </c>
    </row>
    <row r="22" spans="1:2">
      <c r="A22" s="249" t="s">
        <v>473</v>
      </c>
      <c r="B22" s="704" t="s">
        <v>323</v>
      </c>
    </row>
    <row r="23" spans="1:2">
      <c r="A23" s="249" t="s">
        <v>474</v>
      </c>
      <c r="B23" s="704" t="s">
        <v>30</v>
      </c>
    </row>
    <row r="24" spans="1:2">
      <c r="A24" s="249" t="s">
        <v>475</v>
      </c>
      <c r="B24" s="704" t="s">
        <v>30</v>
      </c>
    </row>
    <row r="25" spans="1:2">
      <c r="A25" s="249" t="s">
        <v>476</v>
      </c>
      <c r="B25" s="704" t="s">
        <v>135</v>
      </c>
    </row>
    <row r="26" spans="1:2">
      <c r="A26" s="249" t="s">
        <v>477</v>
      </c>
      <c r="B26" s="704" t="s">
        <v>30</v>
      </c>
    </row>
    <row r="27" spans="1:2">
      <c r="A27" s="249" t="s">
        <v>478</v>
      </c>
      <c r="B27" s="704" t="s">
        <v>30</v>
      </c>
    </row>
    <row r="28" spans="1:2">
      <c r="A28" s="249" t="s">
        <v>737</v>
      </c>
      <c r="B28" s="704" t="s">
        <v>135</v>
      </c>
    </row>
    <row r="29" spans="1:2">
      <c r="A29" s="249" t="s">
        <v>479</v>
      </c>
      <c r="B29" s="704" t="s">
        <v>30</v>
      </c>
    </row>
    <row r="30" spans="1:2">
      <c r="A30" s="249" t="s">
        <v>480</v>
      </c>
      <c r="B30" s="704" t="s">
        <v>30</v>
      </c>
    </row>
    <row r="31" spans="1:2">
      <c r="A31" s="249" t="s">
        <v>738</v>
      </c>
      <c r="B31" s="704" t="s">
        <v>135</v>
      </c>
    </row>
    <row r="32" spans="1:2">
      <c r="A32" s="249" t="s">
        <v>481</v>
      </c>
      <c r="B32" s="704" t="s">
        <v>30</v>
      </c>
    </row>
    <row r="33" spans="1:2">
      <c r="A33" s="249" t="s">
        <v>482</v>
      </c>
      <c r="B33" s="704" t="s">
        <v>135</v>
      </c>
    </row>
    <row r="34" spans="1:2">
      <c r="A34" s="249" t="s">
        <v>483</v>
      </c>
      <c r="B34" s="704" t="s">
        <v>135</v>
      </c>
    </row>
    <row r="35" spans="1:2">
      <c r="A35" s="249" t="s">
        <v>607</v>
      </c>
      <c r="B35" s="704" t="s">
        <v>135</v>
      </c>
    </row>
    <row r="36" spans="1:2">
      <c r="A36" s="249" t="s">
        <v>484</v>
      </c>
      <c r="B36" s="704" t="s">
        <v>135</v>
      </c>
    </row>
    <row r="37" spans="1:2">
      <c r="A37" s="1095" t="s">
        <v>485</v>
      </c>
      <c r="B37" s="704" t="s">
        <v>230</v>
      </c>
    </row>
    <row r="38" spans="1:2">
      <c r="A38" s="249" t="s">
        <v>486</v>
      </c>
      <c r="B38" s="704" t="s">
        <v>135</v>
      </c>
    </row>
    <row r="39" spans="1:2">
      <c r="A39" s="249" t="s">
        <v>487</v>
      </c>
      <c r="B39" s="704" t="s">
        <v>31</v>
      </c>
    </row>
    <row r="40" spans="1:2">
      <c r="A40" s="249" t="s">
        <v>739</v>
      </c>
      <c r="B40" s="704" t="s">
        <v>740</v>
      </c>
    </row>
    <row r="41" spans="1:2">
      <c r="A41" s="249" t="s">
        <v>741</v>
      </c>
      <c r="B41" s="704" t="s">
        <v>740</v>
      </c>
    </row>
    <row r="42" spans="1:2">
      <c r="A42" s="249" t="s">
        <v>488</v>
      </c>
      <c r="B42" s="704" t="s">
        <v>31</v>
      </c>
    </row>
    <row r="43" spans="1:2">
      <c r="A43" s="249" t="s">
        <v>742</v>
      </c>
      <c r="B43" s="704" t="s">
        <v>743</v>
      </c>
    </row>
    <row r="44" spans="1:2">
      <c r="A44" s="810" t="s">
        <v>489</v>
      </c>
      <c r="B44" s="704" t="s">
        <v>30</v>
      </c>
    </row>
    <row r="45" spans="1:2">
      <c r="A45" s="810" t="s">
        <v>490</v>
      </c>
      <c r="B45" s="704" t="s">
        <v>135</v>
      </c>
    </row>
    <row r="46" spans="1:2">
      <c r="A46" s="810" t="s">
        <v>491</v>
      </c>
      <c r="B46" s="704" t="s">
        <v>30</v>
      </c>
    </row>
    <row r="47" spans="1:2">
      <c r="A47" s="810" t="s">
        <v>492</v>
      </c>
      <c r="B47" s="704" t="s">
        <v>30</v>
      </c>
    </row>
    <row r="48" spans="1:2">
      <c r="A48" s="810" t="s">
        <v>493</v>
      </c>
      <c r="B48" s="704" t="s">
        <v>30</v>
      </c>
    </row>
    <row r="49" spans="1:70">
      <c r="A49" s="810" t="s">
        <v>494</v>
      </c>
      <c r="B49" s="704" t="s">
        <v>324</v>
      </c>
    </row>
    <row r="50" spans="1:70">
      <c r="A50" s="810" t="s">
        <v>495</v>
      </c>
      <c r="B50" s="704" t="s">
        <v>30</v>
      </c>
    </row>
    <row r="51" spans="1:70">
      <c r="A51" s="810" t="s">
        <v>744</v>
      </c>
      <c r="B51" s="704" t="s">
        <v>135</v>
      </c>
    </row>
    <row r="52" spans="1:70">
      <c r="A52" s="810" t="s">
        <v>496</v>
      </c>
      <c r="B52" s="704" t="s">
        <v>30</v>
      </c>
    </row>
    <row r="53" spans="1:70">
      <c r="A53" s="810" t="s">
        <v>497</v>
      </c>
      <c r="B53" s="704" t="s">
        <v>30</v>
      </c>
    </row>
    <row r="54" spans="1:70">
      <c r="A54" s="810" t="s">
        <v>498</v>
      </c>
      <c r="B54" s="704" t="s">
        <v>30</v>
      </c>
    </row>
    <row r="55" spans="1:70">
      <c r="A55" s="810" t="s">
        <v>608</v>
      </c>
      <c r="B55" s="704" t="s">
        <v>230</v>
      </c>
    </row>
    <row r="56" spans="1:70">
      <c r="A56" s="810" t="s">
        <v>499</v>
      </c>
      <c r="B56" s="704" t="s">
        <v>30</v>
      </c>
    </row>
    <row r="57" spans="1:70">
      <c r="A57" s="810" t="s">
        <v>500</v>
      </c>
      <c r="B57" s="704" t="s">
        <v>30</v>
      </c>
    </row>
    <row r="58" spans="1:70" s="250" customFormat="1">
      <c r="A58" s="810" t="s">
        <v>501</v>
      </c>
      <c r="B58" s="704" t="s">
        <v>30</v>
      </c>
      <c r="C58" s="248"/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248"/>
      <c r="O58" s="248"/>
      <c r="P58" s="248"/>
      <c r="Q58" s="248"/>
      <c r="R58" s="248"/>
      <c r="S58" s="248"/>
      <c r="T58" s="248"/>
      <c r="U58" s="248"/>
      <c r="V58" s="248"/>
      <c r="W58" s="248"/>
      <c r="X58" s="248"/>
      <c r="Y58" s="248"/>
      <c r="Z58" s="248"/>
      <c r="AA58" s="248"/>
      <c r="AB58" s="248"/>
      <c r="AC58" s="248"/>
      <c r="AD58" s="248"/>
      <c r="AE58" s="248"/>
      <c r="AF58" s="248"/>
      <c r="AG58" s="248"/>
      <c r="AH58" s="248"/>
      <c r="AI58" s="248"/>
      <c r="AJ58" s="248"/>
      <c r="AK58" s="248"/>
      <c r="AL58" s="248"/>
      <c r="AM58" s="248"/>
      <c r="AN58" s="248"/>
      <c r="AO58" s="248"/>
      <c r="AP58" s="248"/>
      <c r="AQ58" s="248"/>
      <c r="AR58" s="248"/>
      <c r="AS58" s="248"/>
      <c r="AT58" s="248"/>
      <c r="AU58" s="248"/>
      <c r="AV58" s="248"/>
      <c r="AW58" s="248"/>
      <c r="AX58" s="248"/>
      <c r="AY58" s="248"/>
      <c r="AZ58" s="248"/>
      <c r="BA58" s="248"/>
      <c r="BB58" s="248"/>
      <c r="BC58" s="248"/>
      <c r="BD58" s="248"/>
      <c r="BE58" s="248"/>
      <c r="BF58" s="248"/>
      <c r="BG58" s="248"/>
      <c r="BH58" s="248"/>
      <c r="BI58" s="248"/>
      <c r="BJ58" s="248"/>
      <c r="BK58" s="248"/>
      <c r="BL58" s="248"/>
      <c r="BM58" s="248"/>
      <c r="BN58" s="248"/>
      <c r="BO58" s="248"/>
      <c r="BP58" s="248"/>
      <c r="BQ58" s="248"/>
      <c r="BR58" s="248"/>
    </row>
    <row r="59" spans="1:70" s="250" customFormat="1">
      <c r="A59" s="810" t="s">
        <v>502</v>
      </c>
      <c r="B59" s="704" t="s">
        <v>135</v>
      </c>
      <c r="C59" s="248"/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8"/>
      <c r="R59" s="248"/>
      <c r="S59" s="248"/>
      <c r="T59" s="248"/>
      <c r="U59" s="248"/>
      <c r="V59" s="248"/>
      <c r="W59" s="248"/>
      <c r="X59" s="248"/>
      <c r="Y59" s="248"/>
      <c r="Z59" s="248"/>
      <c r="AA59" s="248"/>
      <c r="AB59" s="248"/>
      <c r="AC59" s="248"/>
      <c r="AD59" s="248"/>
      <c r="AE59" s="248"/>
      <c r="AF59" s="248"/>
      <c r="AG59" s="248"/>
      <c r="AH59" s="248"/>
      <c r="AI59" s="248"/>
      <c r="AJ59" s="248"/>
      <c r="AK59" s="248"/>
      <c r="AL59" s="248"/>
      <c r="AM59" s="248"/>
      <c r="AN59" s="248"/>
      <c r="AO59" s="248"/>
      <c r="AP59" s="248"/>
      <c r="AQ59" s="248"/>
      <c r="AR59" s="248"/>
      <c r="AS59" s="248"/>
      <c r="AT59" s="248"/>
      <c r="AU59" s="248"/>
      <c r="AV59" s="248"/>
      <c r="AW59" s="248"/>
      <c r="AX59" s="248"/>
      <c r="AY59" s="248"/>
      <c r="AZ59" s="248"/>
      <c r="BA59" s="248"/>
      <c r="BB59" s="248"/>
      <c r="BC59" s="248"/>
      <c r="BD59" s="248"/>
      <c r="BE59" s="248"/>
      <c r="BF59" s="248"/>
      <c r="BG59" s="248"/>
      <c r="BH59" s="248"/>
      <c r="BI59" s="248"/>
      <c r="BJ59" s="248"/>
      <c r="BK59" s="248"/>
      <c r="BL59" s="248"/>
      <c r="BM59" s="248"/>
      <c r="BN59" s="248"/>
      <c r="BO59" s="248"/>
      <c r="BP59" s="248"/>
      <c r="BQ59" s="248"/>
      <c r="BR59" s="248"/>
    </row>
    <row r="60" spans="1:70" s="250" customFormat="1">
      <c r="A60" s="810" t="s">
        <v>503</v>
      </c>
      <c r="B60" s="704" t="s">
        <v>230</v>
      </c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48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48"/>
      <c r="Y60" s="248"/>
      <c r="Z60" s="248"/>
      <c r="AA60" s="248"/>
      <c r="AB60" s="248"/>
      <c r="AC60" s="248"/>
      <c r="AD60" s="248"/>
      <c r="AE60" s="248"/>
      <c r="AF60" s="248"/>
      <c r="AG60" s="248"/>
      <c r="AH60" s="248"/>
      <c r="AI60" s="248"/>
      <c r="AJ60" s="248"/>
      <c r="AK60" s="248"/>
      <c r="AL60" s="248"/>
      <c r="AM60" s="248"/>
      <c r="AN60" s="248"/>
      <c r="AO60" s="248"/>
      <c r="AP60" s="248"/>
      <c r="AQ60" s="248"/>
      <c r="AR60" s="248"/>
      <c r="AS60" s="248"/>
      <c r="AT60" s="248"/>
      <c r="AU60" s="248"/>
      <c r="AV60" s="248"/>
      <c r="AW60" s="248"/>
      <c r="AX60" s="248"/>
      <c r="AY60" s="248"/>
      <c r="AZ60" s="248"/>
      <c r="BA60" s="248"/>
      <c r="BB60" s="248"/>
      <c r="BC60" s="248"/>
      <c r="BD60" s="248"/>
      <c r="BE60" s="248"/>
      <c r="BF60" s="248"/>
      <c r="BG60" s="248"/>
      <c r="BH60" s="248"/>
      <c r="BI60" s="248"/>
      <c r="BJ60" s="248"/>
      <c r="BK60" s="248"/>
      <c r="BL60" s="248"/>
      <c r="BM60" s="248"/>
      <c r="BN60" s="248"/>
      <c r="BO60" s="248"/>
      <c r="BP60" s="248"/>
      <c r="BQ60" s="248"/>
      <c r="BR60" s="248"/>
    </row>
    <row r="61" spans="1:70">
      <c r="A61" s="810" t="s">
        <v>504</v>
      </c>
      <c r="B61" s="704" t="s">
        <v>30</v>
      </c>
    </row>
    <row r="62" spans="1:70">
      <c r="A62" s="810" t="s">
        <v>505</v>
      </c>
      <c r="B62" s="704" t="s">
        <v>30</v>
      </c>
    </row>
    <row r="63" spans="1:70">
      <c r="A63" s="811" t="s">
        <v>745</v>
      </c>
      <c r="B63" s="704" t="s">
        <v>30</v>
      </c>
    </row>
    <row r="64" spans="1:70">
      <c r="A64" s="811" t="s">
        <v>506</v>
      </c>
      <c r="B64" s="704" t="s">
        <v>30</v>
      </c>
    </row>
    <row r="65" spans="1:2">
      <c r="A65" s="811" t="s">
        <v>507</v>
      </c>
      <c r="B65" s="704" t="s">
        <v>321</v>
      </c>
    </row>
    <row r="66" spans="1:2">
      <c r="A66" s="811" t="s">
        <v>508</v>
      </c>
      <c r="B66" s="704" t="s">
        <v>227</v>
      </c>
    </row>
    <row r="67" spans="1:2">
      <c r="A67" s="811" t="s">
        <v>509</v>
      </c>
      <c r="B67" s="704" t="s">
        <v>135</v>
      </c>
    </row>
    <row r="68" spans="1:2">
      <c r="A68" s="811" t="s">
        <v>510</v>
      </c>
      <c r="B68" s="704" t="s">
        <v>30</v>
      </c>
    </row>
    <row r="69" spans="1:2">
      <c r="A69" s="811" t="s">
        <v>511</v>
      </c>
      <c r="B69" s="704" t="s">
        <v>30</v>
      </c>
    </row>
    <row r="70" spans="1:2">
      <c r="A70" s="811" t="s">
        <v>512</v>
      </c>
      <c r="B70" s="704" t="s">
        <v>30</v>
      </c>
    </row>
    <row r="71" spans="1:2">
      <c r="A71" s="811" t="s">
        <v>513</v>
      </c>
      <c r="B71" s="704" t="s">
        <v>30</v>
      </c>
    </row>
    <row r="72" spans="1:2">
      <c r="A72" s="811" t="s">
        <v>514</v>
      </c>
      <c r="B72" s="704" t="s">
        <v>30</v>
      </c>
    </row>
    <row r="73" spans="1:2">
      <c r="A73" s="811" t="s">
        <v>515</v>
      </c>
      <c r="B73" s="704" t="s">
        <v>30</v>
      </c>
    </row>
    <row r="74" spans="1:2">
      <c r="A74" s="811" t="s">
        <v>516</v>
      </c>
      <c r="B74" s="704" t="s">
        <v>30</v>
      </c>
    </row>
    <row r="75" spans="1:2">
      <c r="A75" s="811" t="s">
        <v>517</v>
      </c>
      <c r="B75" s="704" t="s">
        <v>30</v>
      </c>
    </row>
    <row r="76" spans="1:2">
      <c r="A76" s="811" t="s">
        <v>518</v>
      </c>
      <c r="B76" s="704" t="s">
        <v>30</v>
      </c>
    </row>
    <row r="77" spans="1:2">
      <c r="A77" s="811" t="s">
        <v>519</v>
      </c>
      <c r="B77" s="704" t="s">
        <v>135</v>
      </c>
    </row>
    <row r="78" spans="1:2">
      <c r="A78" s="811" t="s">
        <v>520</v>
      </c>
      <c r="B78" s="704" t="s">
        <v>30</v>
      </c>
    </row>
    <row r="79" spans="1:2">
      <c r="A79" s="811" t="s">
        <v>521</v>
      </c>
      <c r="B79" s="704" t="s">
        <v>230</v>
      </c>
    </row>
    <row r="80" spans="1:2">
      <c r="A80" s="811" t="s">
        <v>522</v>
      </c>
      <c r="B80" s="704" t="s">
        <v>31</v>
      </c>
    </row>
    <row r="81" spans="1:2">
      <c r="A81" s="811" t="s">
        <v>523</v>
      </c>
      <c r="B81" s="704" t="s">
        <v>30</v>
      </c>
    </row>
    <row r="82" spans="1:2">
      <c r="A82" s="811" t="s">
        <v>524</v>
      </c>
      <c r="B82" s="704" t="s">
        <v>30</v>
      </c>
    </row>
    <row r="83" spans="1:2">
      <c r="A83" s="812" t="s">
        <v>525</v>
      </c>
      <c r="B83" s="704" t="s">
        <v>30</v>
      </c>
    </row>
    <row r="84" spans="1:2">
      <c r="A84" s="812" t="s">
        <v>526</v>
      </c>
      <c r="B84" s="704" t="s">
        <v>30</v>
      </c>
    </row>
    <row r="85" spans="1:2">
      <c r="A85" s="812" t="s">
        <v>527</v>
      </c>
      <c r="B85" s="704" t="s">
        <v>135</v>
      </c>
    </row>
    <row r="86" spans="1:2">
      <c r="A86" s="812" t="s">
        <v>528</v>
      </c>
      <c r="B86" s="704" t="s">
        <v>30</v>
      </c>
    </row>
    <row r="87" spans="1:2">
      <c r="A87" s="812" t="s">
        <v>529</v>
      </c>
      <c r="B87" s="704" t="s">
        <v>30</v>
      </c>
    </row>
    <row r="88" spans="1:2">
      <c r="A88" s="812" t="s">
        <v>530</v>
      </c>
      <c r="B88" s="704" t="s">
        <v>100</v>
      </c>
    </row>
    <row r="89" spans="1:2">
      <c r="A89" s="812" t="s">
        <v>531</v>
      </c>
      <c r="B89" s="704" t="s">
        <v>30</v>
      </c>
    </row>
    <row r="90" spans="1:2">
      <c r="A90" s="812" t="s">
        <v>532</v>
      </c>
      <c r="B90" s="704" t="s">
        <v>135</v>
      </c>
    </row>
    <row r="91" spans="1:2">
      <c r="A91" s="812" t="s">
        <v>533</v>
      </c>
      <c r="B91" s="704" t="s">
        <v>30</v>
      </c>
    </row>
    <row r="92" spans="1:2">
      <c r="A92" s="812" t="s">
        <v>534</v>
      </c>
      <c r="B92" s="704" t="s">
        <v>324</v>
      </c>
    </row>
    <row r="93" spans="1:2">
      <c r="A93" s="812" t="s">
        <v>535</v>
      </c>
      <c r="B93" s="704" t="s">
        <v>230</v>
      </c>
    </row>
    <row r="94" spans="1:2">
      <c r="A94" s="812" t="s">
        <v>746</v>
      </c>
      <c r="B94" s="704" t="s">
        <v>325</v>
      </c>
    </row>
    <row r="95" spans="1:2">
      <c r="A95" s="813" t="s">
        <v>609</v>
      </c>
      <c r="B95" s="704" t="s">
        <v>230</v>
      </c>
    </row>
    <row r="96" spans="1:2">
      <c r="A96" s="813" t="s">
        <v>747</v>
      </c>
      <c r="B96" s="704" t="s">
        <v>135</v>
      </c>
    </row>
    <row r="97" spans="1:3">
      <c r="A97" s="813" t="s">
        <v>536</v>
      </c>
      <c r="B97" s="704" t="s">
        <v>30</v>
      </c>
    </row>
    <row r="98" spans="1:3">
      <c r="A98" s="814" t="s">
        <v>537</v>
      </c>
      <c r="B98" s="704" t="s">
        <v>30</v>
      </c>
      <c r="C98" s="704"/>
    </row>
    <row r="99" spans="1:3">
      <c r="A99" s="813" t="s">
        <v>538</v>
      </c>
      <c r="B99" s="704" t="s">
        <v>30</v>
      </c>
    </row>
    <row r="100" spans="1:3">
      <c r="A100" s="813" t="s">
        <v>539</v>
      </c>
      <c r="B100" s="704" t="s">
        <v>135</v>
      </c>
    </row>
    <row r="101" spans="1:3">
      <c r="A101" s="813" t="s">
        <v>540</v>
      </c>
      <c r="B101" s="704" t="s">
        <v>30</v>
      </c>
    </row>
    <row r="102" spans="1:3">
      <c r="A102" s="813" t="s">
        <v>541</v>
      </c>
      <c r="B102" s="704" t="s">
        <v>30</v>
      </c>
    </row>
    <row r="103" spans="1:3">
      <c r="A103" s="813" t="s">
        <v>542</v>
      </c>
      <c r="B103" s="704" t="s">
        <v>30</v>
      </c>
    </row>
    <row r="104" spans="1:3">
      <c r="A104" s="813" t="s">
        <v>543</v>
      </c>
      <c r="B104" s="704" t="s">
        <v>135</v>
      </c>
    </row>
    <row r="105" spans="1:3">
      <c r="A105" s="813" t="s">
        <v>544</v>
      </c>
      <c r="B105" s="704" t="s">
        <v>30</v>
      </c>
    </row>
    <row r="106" spans="1:3">
      <c r="A106" s="813" t="s">
        <v>545</v>
      </c>
      <c r="B106" s="704" t="s">
        <v>30</v>
      </c>
    </row>
    <row r="107" spans="1:3">
      <c r="A107" s="813" t="s">
        <v>546</v>
      </c>
      <c r="B107" s="704" t="s">
        <v>30</v>
      </c>
    </row>
    <row r="108" spans="1:3">
      <c r="A108" s="813" t="s">
        <v>547</v>
      </c>
      <c r="B108" s="704" t="s">
        <v>30</v>
      </c>
    </row>
    <row r="109" spans="1:3">
      <c r="A109" s="813" t="s">
        <v>548</v>
      </c>
      <c r="B109" s="704" t="s">
        <v>30</v>
      </c>
    </row>
    <row r="110" spans="1:3">
      <c r="A110" s="813" t="s">
        <v>549</v>
      </c>
      <c r="B110" s="704" t="s">
        <v>135</v>
      </c>
    </row>
    <row r="111" spans="1:3">
      <c r="A111" s="813" t="s">
        <v>550</v>
      </c>
      <c r="B111" s="704" t="s">
        <v>30</v>
      </c>
    </row>
    <row r="112" spans="1:3">
      <c r="A112" s="813" t="s">
        <v>551</v>
      </c>
      <c r="B112" s="704" t="s">
        <v>135</v>
      </c>
    </row>
    <row r="113" spans="1:2">
      <c r="A113" s="813" t="s">
        <v>552</v>
      </c>
      <c r="B113" s="704" t="s">
        <v>320</v>
      </c>
    </row>
    <row r="114" spans="1:2">
      <c r="A114" s="251" t="s">
        <v>553</v>
      </c>
      <c r="B114" s="704" t="s">
        <v>30</v>
      </c>
    </row>
    <row r="115" spans="1:2">
      <c r="A115" s="251" t="s">
        <v>554</v>
      </c>
      <c r="B115" s="704" t="s">
        <v>30</v>
      </c>
    </row>
    <row r="116" spans="1:2">
      <c r="A116" s="251" t="s">
        <v>555</v>
      </c>
      <c r="B116" s="704" t="s">
        <v>30</v>
      </c>
    </row>
    <row r="117" spans="1:2">
      <c r="A117" s="251" t="s">
        <v>556</v>
      </c>
      <c r="B117" s="704" t="s">
        <v>30</v>
      </c>
    </row>
    <row r="118" spans="1:2">
      <c r="A118" s="251" t="s">
        <v>557</v>
      </c>
      <c r="B118" s="704" t="s">
        <v>30</v>
      </c>
    </row>
    <row r="119" spans="1:2">
      <c r="A119" s="251" t="s">
        <v>558</v>
      </c>
      <c r="B119" s="704" t="s">
        <v>30</v>
      </c>
    </row>
    <row r="120" spans="1:2">
      <c r="A120" s="251" t="s">
        <v>559</v>
      </c>
      <c r="B120" s="704" t="s">
        <v>30</v>
      </c>
    </row>
    <row r="121" spans="1:2">
      <c r="A121" s="251" t="s">
        <v>560</v>
      </c>
      <c r="B121" s="704" t="s">
        <v>102</v>
      </c>
    </row>
    <row r="122" spans="1:2">
      <c r="A122" s="251" t="s">
        <v>561</v>
      </c>
      <c r="B122" s="704" t="s">
        <v>30</v>
      </c>
    </row>
    <row r="123" spans="1:2">
      <c r="A123" s="251" t="s">
        <v>562</v>
      </c>
      <c r="B123" s="704" t="s">
        <v>30</v>
      </c>
    </row>
    <row r="124" spans="1:2">
      <c r="A124" s="251" t="s">
        <v>563</v>
      </c>
      <c r="B124" s="704" t="s">
        <v>102</v>
      </c>
    </row>
    <row r="125" spans="1:2">
      <c r="A125" s="251" t="s">
        <v>564</v>
      </c>
      <c r="B125" s="704" t="s">
        <v>30</v>
      </c>
    </row>
    <row r="126" spans="1:2">
      <c r="A126" s="251" t="s">
        <v>565</v>
      </c>
      <c r="B126" s="704" t="s">
        <v>30</v>
      </c>
    </row>
    <row r="127" spans="1:2">
      <c r="A127" s="251" t="s">
        <v>566</v>
      </c>
      <c r="B127" s="704" t="s">
        <v>102</v>
      </c>
    </row>
    <row r="128" spans="1:2">
      <c r="A128" s="251" t="s">
        <v>567</v>
      </c>
      <c r="B128" s="704" t="s">
        <v>30</v>
      </c>
    </row>
    <row r="129" spans="1:2">
      <c r="A129" s="251" t="s">
        <v>568</v>
      </c>
      <c r="B129" s="704" t="s">
        <v>30</v>
      </c>
    </row>
    <row r="130" spans="1:2">
      <c r="A130" s="251" t="s">
        <v>569</v>
      </c>
      <c r="B130" s="704" t="s">
        <v>30</v>
      </c>
    </row>
    <row r="131" spans="1:2">
      <c r="A131" s="251" t="s">
        <v>570</v>
      </c>
      <c r="B131" s="704" t="s">
        <v>30</v>
      </c>
    </row>
    <row r="132" spans="1:2">
      <c r="A132" s="251" t="s">
        <v>571</v>
      </c>
      <c r="B132" s="704" t="s">
        <v>30</v>
      </c>
    </row>
    <row r="133" spans="1:2">
      <c r="A133" s="251" t="s">
        <v>572</v>
      </c>
      <c r="B133" s="704" t="s">
        <v>230</v>
      </c>
    </row>
    <row r="134" spans="1:2">
      <c r="A134" s="251" t="s">
        <v>748</v>
      </c>
      <c r="B134" s="704" t="s">
        <v>326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3:I66"/>
  <sheetViews>
    <sheetView showGridLines="0" tabSelected="1" zoomScale="80" zoomScaleNormal="80" workbookViewId="0">
      <selection activeCell="D44" sqref="D44"/>
    </sheetView>
  </sheetViews>
  <sheetFormatPr baseColWidth="10" defaultRowHeight="15"/>
  <cols>
    <col min="1" max="1" width="21.85546875" customWidth="1"/>
    <col min="2" max="2" width="39.5703125" hidden="1" customWidth="1"/>
    <col min="3" max="3" width="15.140625" hidden="1" customWidth="1"/>
    <col min="4" max="5" width="17.140625" customWidth="1"/>
    <col min="6" max="6" width="15.140625" hidden="1" customWidth="1"/>
    <col min="7" max="7" width="17.140625" customWidth="1"/>
    <col min="8" max="9" width="15.140625" customWidth="1"/>
  </cols>
  <sheetData>
    <row r="3" spans="1:9">
      <c r="A3" s="1860" t="s">
        <v>773</v>
      </c>
      <c r="B3" s="1860"/>
      <c r="C3" s="1860"/>
      <c r="D3" s="1860"/>
      <c r="E3" s="1860"/>
      <c r="F3" s="1860"/>
      <c r="G3" s="1860"/>
    </row>
    <row r="4" spans="1:9" ht="15.75" thickBot="1"/>
    <row r="5" spans="1:9" ht="51" customHeight="1" thickBot="1">
      <c r="A5" s="240" t="s">
        <v>32</v>
      </c>
      <c r="B5" s="241" t="s">
        <v>29</v>
      </c>
      <c r="C5" s="242" t="s">
        <v>101</v>
      </c>
      <c r="D5" s="242" t="s">
        <v>245</v>
      </c>
      <c r="E5" s="242" t="s">
        <v>242</v>
      </c>
      <c r="F5" s="242" t="s">
        <v>776</v>
      </c>
      <c r="G5" s="243" t="s">
        <v>777</v>
      </c>
      <c r="H5" s="1008"/>
    </row>
    <row r="6" spans="1:9" ht="21" customHeight="1">
      <c r="A6" s="1861" t="s">
        <v>774</v>
      </c>
      <c r="B6" s="1862"/>
      <c r="C6" s="1131">
        <f>+H44</f>
        <v>80683</v>
      </c>
      <c r="D6" s="1128"/>
      <c r="E6" s="1128"/>
      <c r="F6" s="1128"/>
      <c r="G6" s="1129"/>
    </row>
    <row r="7" spans="1:9" s="1007" customFormat="1" ht="21" customHeight="1">
      <c r="A7" s="1863" t="s">
        <v>778</v>
      </c>
      <c r="B7" s="1864"/>
      <c r="C7" s="1864"/>
      <c r="D7" s="1864"/>
      <c r="E7" s="1864"/>
      <c r="F7" s="1864"/>
      <c r="G7" s="1865"/>
    </row>
    <row r="8" spans="1:9" ht="21" customHeight="1">
      <c r="A8" s="1866" t="s">
        <v>612</v>
      </c>
      <c r="B8" s="1132" t="str">
        <f>+'PARTE DIC2021'!D82</f>
        <v>EPMSCEBA El Banco</v>
      </c>
      <c r="C8" s="1133">
        <v>80</v>
      </c>
      <c r="D8" s="1133"/>
      <c r="E8" s="1133">
        <v>4</v>
      </c>
      <c r="F8" s="1134">
        <f>+C8+D8-E8</f>
        <v>76</v>
      </c>
      <c r="G8" s="1136">
        <f>+C6+D8-E8</f>
        <v>80679</v>
      </c>
      <c r="H8" s="1008"/>
    </row>
    <row r="9" spans="1:9" ht="21" customHeight="1">
      <c r="A9" s="1867"/>
      <c r="B9" s="1159" t="s">
        <v>779</v>
      </c>
      <c r="C9" s="245">
        <v>50</v>
      </c>
      <c r="D9" s="245"/>
      <c r="E9" s="245">
        <v>50</v>
      </c>
      <c r="F9" s="245">
        <f t="shared" ref="F9:F16" si="0">+C9+D9-E9</f>
        <v>0</v>
      </c>
      <c r="G9" s="1093">
        <f>+G8+D9-E9</f>
        <v>80629</v>
      </c>
    </row>
    <row r="10" spans="1:9" ht="21" customHeight="1">
      <c r="A10" s="1868"/>
      <c r="B10" s="1135" t="s">
        <v>555</v>
      </c>
      <c r="C10" s="1130">
        <v>67</v>
      </c>
      <c r="D10" s="1130">
        <v>16</v>
      </c>
      <c r="E10" s="1130"/>
      <c r="F10" s="1130">
        <f t="shared" si="0"/>
        <v>83</v>
      </c>
      <c r="G10" s="1137">
        <f>+G9+D10-E10</f>
        <v>80645</v>
      </c>
    </row>
    <row r="11" spans="1:9" ht="21" customHeight="1">
      <c r="A11" s="1869" t="s">
        <v>780</v>
      </c>
      <c r="B11" s="129" t="s">
        <v>742</v>
      </c>
      <c r="C11" s="130">
        <v>0</v>
      </c>
      <c r="D11" s="130">
        <v>180</v>
      </c>
      <c r="E11" s="130"/>
      <c r="F11" s="130">
        <f t="shared" si="0"/>
        <v>180</v>
      </c>
      <c r="G11" s="1091">
        <f>+G10+D11-E11</f>
        <v>80825</v>
      </c>
      <c r="H11" s="6"/>
      <c r="I11" s="6"/>
    </row>
    <row r="12" spans="1:9" ht="21" customHeight="1">
      <c r="A12" s="1870"/>
      <c r="B12" s="244" t="s">
        <v>510</v>
      </c>
      <c r="C12" s="245">
        <v>1386</v>
      </c>
      <c r="D12" s="245">
        <v>78</v>
      </c>
      <c r="E12" s="245"/>
      <c r="F12" s="245">
        <f t="shared" si="0"/>
        <v>1464</v>
      </c>
      <c r="G12" s="1093">
        <f>+G11+D12-E12</f>
        <v>80903</v>
      </c>
      <c r="I12" s="1008"/>
    </row>
    <row r="13" spans="1:9" ht="21" customHeight="1">
      <c r="A13" s="1870"/>
      <c r="B13" s="244" t="s">
        <v>528</v>
      </c>
      <c r="C13" s="245">
        <v>200</v>
      </c>
      <c r="D13" s="245"/>
      <c r="E13" s="245">
        <v>15</v>
      </c>
      <c r="F13" s="245">
        <f t="shared" si="0"/>
        <v>185</v>
      </c>
      <c r="G13" s="1093">
        <f t="shared" ref="G13:G18" si="1">+G12+D13-E13</f>
        <v>80888</v>
      </c>
    </row>
    <row r="14" spans="1:9" ht="21" customHeight="1">
      <c r="A14" s="1871"/>
      <c r="B14" s="1135" t="s">
        <v>546</v>
      </c>
      <c r="C14" s="1130">
        <v>50</v>
      </c>
      <c r="D14" s="1130">
        <v>12</v>
      </c>
      <c r="E14" s="1130"/>
      <c r="F14" s="1130">
        <f t="shared" si="0"/>
        <v>62</v>
      </c>
      <c r="G14" s="1137">
        <f t="shared" si="1"/>
        <v>80900</v>
      </c>
    </row>
    <row r="15" spans="1:9" s="690" customFormat="1" ht="21" customHeight="1">
      <c r="A15" s="129" t="s">
        <v>13</v>
      </c>
      <c r="B15" s="514" t="s">
        <v>524</v>
      </c>
      <c r="C15" s="239">
        <v>70</v>
      </c>
      <c r="D15" s="239">
        <v>8</v>
      </c>
      <c r="E15" s="239"/>
      <c r="F15" s="1130">
        <f t="shared" si="0"/>
        <v>78</v>
      </c>
      <c r="G15" s="1092">
        <f t="shared" si="1"/>
        <v>80908</v>
      </c>
    </row>
    <row r="16" spans="1:9" ht="21" customHeight="1">
      <c r="A16" s="1135"/>
      <c r="B16" s="514" t="s">
        <v>533</v>
      </c>
      <c r="C16" s="239">
        <v>184</v>
      </c>
      <c r="D16" s="239"/>
      <c r="E16" s="239">
        <v>16</v>
      </c>
      <c r="F16" s="1130">
        <f t="shared" si="0"/>
        <v>168</v>
      </c>
      <c r="G16" s="1137">
        <f t="shared" si="1"/>
        <v>80892</v>
      </c>
      <c r="I16" s="515"/>
    </row>
    <row r="17" spans="1:9" s="1007" customFormat="1" ht="21" customHeight="1">
      <c r="A17" s="514" t="s">
        <v>53</v>
      </c>
      <c r="B17" s="514" t="s">
        <v>781</v>
      </c>
      <c r="C17" s="239">
        <v>280</v>
      </c>
      <c r="D17" s="239">
        <v>608</v>
      </c>
      <c r="E17" s="239"/>
      <c r="F17" s="1130">
        <f>+C17+D17-E17</f>
        <v>888</v>
      </c>
      <c r="G17" s="1137">
        <f t="shared" si="1"/>
        <v>81500</v>
      </c>
    </row>
    <row r="18" spans="1:9" s="1007" customFormat="1" ht="21" customHeight="1">
      <c r="A18" s="514" t="s">
        <v>54</v>
      </c>
      <c r="B18" s="514" t="s">
        <v>533</v>
      </c>
      <c r="C18" s="239">
        <f>+F16</f>
        <v>168</v>
      </c>
      <c r="D18" s="239">
        <v>24</v>
      </c>
      <c r="E18" s="239"/>
      <c r="F18" s="1130">
        <f>+C18+D18-E18</f>
        <v>192</v>
      </c>
      <c r="G18" s="1137">
        <f t="shared" si="1"/>
        <v>81524</v>
      </c>
      <c r="I18" s="515"/>
    </row>
    <row r="19" spans="1:9" s="1007" customFormat="1" ht="21" customHeight="1">
      <c r="A19" s="514" t="s">
        <v>56</v>
      </c>
      <c r="B19" s="514" t="s">
        <v>535</v>
      </c>
      <c r="C19" s="239">
        <v>1622</v>
      </c>
      <c r="D19" s="239">
        <v>802</v>
      </c>
      <c r="E19" s="239"/>
      <c r="F19" s="1130">
        <f>+C19+D19-E19</f>
        <v>2424</v>
      </c>
      <c r="G19" s="1137">
        <f>+G18+D19-E19</f>
        <v>82326</v>
      </c>
      <c r="I19" s="515"/>
    </row>
    <row r="20" spans="1:9" s="1007" customFormat="1" ht="21" customHeight="1">
      <c r="A20" s="1874" t="s">
        <v>248</v>
      </c>
      <c r="B20" s="514" t="s">
        <v>455</v>
      </c>
      <c r="C20" s="239">
        <v>326</v>
      </c>
      <c r="D20" s="239"/>
      <c r="E20" s="239">
        <v>4</v>
      </c>
      <c r="F20" s="1130">
        <f>+C20+D20-E20</f>
        <v>322</v>
      </c>
      <c r="G20" s="1092">
        <f>+G19+D20-E20</f>
        <v>82322</v>
      </c>
      <c r="I20" s="515"/>
    </row>
    <row r="21" spans="1:9" s="1007" customFormat="1" ht="21" customHeight="1">
      <c r="A21" s="1875"/>
      <c r="B21" s="514" t="s">
        <v>457</v>
      </c>
      <c r="C21" s="239">
        <v>50</v>
      </c>
      <c r="D21" s="239"/>
      <c r="E21" s="239">
        <v>13</v>
      </c>
      <c r="F21" s="1130">
        <f>+C21+D21-E21</f>
        <v>37</v>
      </c>
      <c r="G21" s="1092">
        <f>+G20+D21-E21</f>
        <v>82309</v>
      </c>
      <c r="I21" s="515"/>
    </row>
    <row r="22" spans="1:9" s="1007" customFormat="1" ht="21" customHeight="1">
      <c r="A22" s="1875"/>
      <c r="B22" s="514" t="s">
        <v>462</v>
      </c>
      <c r="C22" s="239">
        <v>6002</v>
      </c>
      <c r="D22" s="239"/>
      <c r="E22" s="239">
        <v>32</v>
      </c>
      <c r="F22" s="1130">
        <f t="shared" ref="F22:F32" si="2">+C22+D22-E22</f>
        <v>5970</v>
      </c>
      <c r="G22" s="1092">
        <f t="shared" ref="G22:G36" si="3">+G21+D22-E22</f>
        <v>82277</v>
      </c>
      <c r="I22" s="515"/>
    </row>
    <row r="23" spans="1:9" s="1007" customFormat="1" ht="21" customHeight="1">
      <c r="A23" s="1875"/>
      <c r="B23" s="514" t="s">
        <v>464</v>
      </c>
      <c r="C23" s="239">
        <v>3081</v>
      </c>
      <c r="D23" s="239"/>
      <c r="E23" s="239">
        <v>176</v>
      </c>
      <c r="F23" s="1130">
        <f t="shared" si="2"/>
        <v>2905</v>
      </c>
      <c r="G23" s="1092">
        <f t="shared" si="3"/>
        <v>82101</v>
      </c>
      <c r="I23" s="515"/>
    </row>
    <row r="24" spans="1:9" s="1007" customFormat="1" ht="21" customHeight="1">
      <c r="A24" s="1875"/>
      <c r="B24" s="514" t="s">
        <v>475</v>
      </c>
      <c r="C24" s="239">
        <v>130</v>
      </c>
      <c r="D24" s="239"/>
      <c r="E24" s="239">
        <v>10</v>
      </c>
      <c r="F24" s="1130">
        <f t="shared" si="2"/>
        <v>120</v>
      </c>
      <c r="G24" s="1092">
        <f t="shared" si="3"/>
        <v>82091</v>
      </c>
      <c r="I24" s="515"/>
    </row>
    <row r="25" spans="1:9" s="1007" customFormat="1" ht="21" customHeight="1">
      <c r="A25" s="1875"/>
      <c r="B25" s="514" t="s">
        <v>480</v>
      </c>
      <c r="C25" s="239">
        <v>690</v>
      </c>
      <c r="D25" s="239"/>
      <c r="E25" s="239">
        <v>40</v>
      </c>
      <c r="F25" s="1130">
        <f>+C25+D25-E25</f>
        <v>650</v>
      </c>
      <c r="G25" s="1092">
        <f t="shared" si="3"/>
        <v>82051</v>
      </c>
      <c r="I25" s="515"/>
    </row>
    <row r="26" spans="1:9" s="1007" customFormat="1" ht="21" customHeight="1">
      <c r="A26" s="1875"/>
      <c r="B26" s="514" t="s">
        <v>497</v>
      </c>
      <c r="C26" s="239">
        <v>104</v>
      </c>
      <c r="D26" s="239"/>
      <c r="E26" s="239">
        <v>16</v>
      </c>
      <c r="F26" s="1130">
        <f>+C26+D26-E26</f>
        <v>88</v>
      </c>
      <c r="G26" s="1092">
        <f t="shared" si="3"/>
        <v>82035</v>
      </c>
      <c r="I26" s="515"/>
    </row>
    <row r="27" spans="1:9" s="1007" customFormat="1" ht="21" customHeight="1">
      <c r="A27" s="1875"/>
      <c r="B27" s="514" t="s">
        <v>501</v>
      </c>
      <c r="C27" s="239">
        <v>335</v>
      </c>
      <c r="D27" s="239"/>
      <c r="E27" s="239">
        <v>20</v>
      </c>
      <c r="F27" s="1130">
        <f>+C27+D27-E27</f>
        <v>315</v>
      </c>
      <c r="G27" s="1092">
        <f t="shared" si="3"/>
        <v>82015</v>
      </c>
      <c r="I27" s="515"/>
    </row>
    <row r="28" spans="1:9" s="1007" customFormat="1" ht="21" customHeight="1">
      <c r="A28" s="1875"/>
      <c r="B28" s="514" t="s">
        <v>506</v>
      </c>
      <c r="C28" s="239">
        <v>120</v>
      </c>
      <c r="D28" s="239"/>
      <c r="E28" s="239">
        <v>32</v>
      </c>
      <c r="F28" s="1130">
        <f t="shared" si="2"/>
        <v>88</v>
      </c>
      <c r="G28" s="1092">
        <f t="shared" si="3"/>
        <v>81983</v>
      </c>
      <c r="I28" s="515"/>
    </row>
    <row r="29" spans="1:9" s="1007" customFormat="1" ht="21" customHeight="1">
      <c r="A29" s="1875"/>
      <c r="B29" s="514" t="s">
        <v>507</v>
      </c>
      <c r="C29" s="239">
        <v>4492</v>
      </c>
      <c r="D29" s="239"/>
      <c r="E29" s="239">
        <v>48</v>
      </c>
      <c r="F29" s="1130">
        <f>+C29+D29-E29</f>
        <v>4444</v>
      </c>
      <c r="G29" s="1092">
        <f t="shared" si="3"/>
        <v>81935</v>
      </c>
      <c r="I29" s="515"/>
    </row>
    <row r="30" spans="1:9" s="1007" customFormat="1" ht="21" customHeight="1">
      <c r="A30" s="1875"/>
      <c r="B30" s="514" t="s">
        <v>522</v>
      </c>
      <c r="C30" s="239">
        <v>1056</v>
      </c>
      <c r="D30" s="239"/>
      <c r="E30" s="239">
        <v>853</v>
      </c>
      <c r="F30" s="1130">
        <f>+C30+D30-E30</f>
        <v>203</v>
      </c>
      <c r="G30" s="1092">
        <f t="shared" si="3"/>
        <v>81082</v>
      </c>
      <c r="I30" s="515"/>
    </row>
    <row r="31" spans="1:9" s="1007" customFormat="1" ht="21" customHeight="1">
      <c r="A31" s="1875"/>
      <c r="B31" s="514" t="s">
        <v>746</v>
      </c>
      <c r="C31" s="239">
        <v>2651</v>
      </c>
      <c r="D31" s="239"/>
      <c r="E31" s="239">
        <v>15</v>
      </c>
      <c r="F31" s="1130">
        <f t="shared" si="2"/>
        <v>2636</v>
      </c>
      <c r="G31" s="1092">
        <f t="shared" si="3"/>
        <v>81067</v>
      </c>
      <c r="I31" s="515"/>
    </row>
    <row r="32" spans="1:9" s="1007" customFormat="1" ht="21" customHeight="1">
      <c r="A32" s="1875"/>
      <c r="B32" s="514" t="s">
        <v>553</v>
      </c>
      <c r="C32" s="239">
        <v>670</v>
      </c>
      <c r="D32" s="239"/>
      <c r="E32" s="239">
        <v>43</v>
      </c>
      <c r="F32" s="1130">
        <f t="shared" si="2"/>
        <v>627</v>
      </c>
      <c r="G32" s="1092">
        <f t="shared" si="3"/>
        <v>81024</v>
      </c>
      <c r="I32" s="515"/>
    </row>
    <row r="33" spans="1:9" s="1007" customFormat="1" ht="21" customHeight="1">
      <c r="A33" s="1875"/>
      <c r="B33" s="514" t="s">
        <v>782</v>
      </c>
      <c r="C33" s="239">
        <v>83</v>
      </c>
      <c r="D33" s="239"/>
      <c r="E33" s="239">
        <v>83</v>
      </c>
      <c r="F33" s="1130">
        <f>+C33+D33-E33</f>
        <v>0</v>
      </c>
      <c r="G33" s="1092">
        <f t="shared" si="3"/>
        <v>80941</v>
      </c>
      <c r="I33" s="515"/>
    </row>
    <row r="34" spans="1:9" s="1007" customFormat="1" ht="21" customHeight="1">
      <c r="A34" s="1875"/>
      <c r="B34" s="514" t="s">
        <v>561</v>
      </c>
      <c r="C34" s="239">
        <v>980</v>
      </c>
      <c r="D34" s="239"/>
      <c r="E34" s="239">
        <v>30</v>
      </c>
      <c r="F34" s="1130">
        <f>+C34+D34-E34</f>
        <v>950</v>
      </c>
      <c r="G34" s="1092">
        <f t="shared" si="3"/>
        <v>80911</v>
      </c>
      <c r="I34" s="515"/>
    </row>
    <row r="35" spans="1:9" s="1007" customFormat="1" ht="21" customHeight="1">
      <c r="A35" s="1875"/>
      <c r="B35" s="514" t="s">
        <v>564</v>
      </c>
      <c r="C35" s="239">
        <v>676</v>
      </c>
      <c r="D35" s="239"/>
      <c r="E35" s="239">
        <v>27</v>
      </c>
      <c r="F35" s="1130">
        <f>+C35+D35-E35</f>
        <v>649</v>
      </c>
      <c r="G35" s="1092">
        <f t="shared" si="3"/>
        <v>80884</v>
      </c>
      <c r="I35" s="515"/>
    </row>
    <row r="36" spans="1:9" s="1007" customFormat="1" ht="21" customHeight="1" thickBot="1">
      <c r="A36" s="1876"/>
      <c r="B36" s="514" t="s">
        <v>783</v>
      </c>
      <c r="C36" s="239">
        <v>5097</v>
      </c>
      <c r="D36" s="239"/>
      <c r="E36" s="239">
        <v>455</v>
      </c>
      <c r="F36" s="1130">
        <f>+C36+D36-E36</f>
        <v>4642</v>
      </c>
      <c r="G36" s="1137">
        <f t="shared" si="3"/>
        <v>80429</v>
      </c>
      <c r="I36" s="515"/>
    </row>
    <row r="37" spans="1:9" ht="21.75" customHeight="1" thickBot="1">
      <c r="A37" s="1879" t="s">
        <v>775</v>
      </c>
      <c r="B37" s="1880"/>
      <c r="C37" s="653"/>
      <c r="D37" s="653">
        <f>SUM(D8:D36)</f>
        <v>1728</v>
      </c>
      <c r="E37" s="1138">
        <f>SUM(E8:E36)</f>
        <v>1982</v>
      </c>
      <c r="F37" s="1140"/>
      <c r="G37" s="1139"/>
    </row>
    <row r="38" spans="1:9">
      <c r="A38" t="s">
        <v>379</v>
      </c>
      <c r="G38" s="690"/>
    </row>
    <row r="39" spans="1:9">
      <c r="E39" s="6"/>
      <c r="F39" s="1007"/>
      <c r="G39" s="1007"/>
    </row>
    <row r="40" spans="1:9">
      <c r="E40" s="6"/>
      <c r="F40" s="1007"/>
      <c r="G40" s="1007"/>
      <c r="H40" s="6"/>
    </row>
    <row r="41" spans="1:9">
      <c r="D41" s="6"/>
      <c r="E41" s="6"/>
      <c r="F41" s="1007"/>
      <c r="G41" s="1007"/>
      <c r="H41" s="691"/>
    </row>
    <row r="42" spans="1:9" ht="15.75" thickBot="1">
      <c r="C42" s="6"/>
    </row>
    <row r="43" spans="1:9" ht="26.25" customHeight="1" thickBot="1">
      <c r="B43" s="894" t="s">
        <v>139</v>
      </c>
      <c r="C43" s="895">
        <v>2015</v>
      </c>
      <c r="D43" s="895" t="s">
        <v>666</v>
      </c>
      <c r="E43" s="895" t="s">
        <v>667</v>
      </c>
      <c r="F43" s="895">
        <v>2018</v>
      </c>
      <c r="G43" s="895" t="s">
        <v>668</v>
      </c>
      <c r="H43" s="895">
        <v>2020</v>
      </c>
      <c r="I43" s="896" t="s">
        <v>784</v>
      </c>
    </row>
    <row r="44" spans="1:9" ht="26.25" customHeight="1">
      <c r="B44" s="897" t="s">
        <v>101</v>
      </c>
      <c r="C44" s="898">
        <v>77953</v>
      </c>
      <c r="D44" s="898">
        <v>78420</v>
      </c>
      <c r="E44" s="898">
        <v>79211</v>
      </c>
      <c r="F44" s="898">
        <v>80227</v>
      </c>
      <c r="G44" s="898">
        <v>80260</v>
      </c>
      <c r="H44" s="898">
        <v>80683</v>
      </c>
      <c r="I44" s="899">
        <f>+G36</f>
        <v>80429</v>
      </c>
    </row>
    <row r="45" spans="1:9" ht="23.25" customHeight="1">
      <c r="B45" s="1877" t="s">
        <v>316</v>
      </c>
      <c r="C45" s="900">
        <f>+C44-B41</f>
        <v>77953</v>
      </c>
      <c r="D45" s="900">
        <f t="shared" ref="D45:I45" si="4">+D44-C44</f>
        <v>467</v>
      </c>
      <c r="E45" s="900">
        <f t="shared" si="4"/>
        <v>791</v>
      </c>
      <c r="F45" s="900">
        <f t="shared" si="4"/>
        <v>1016</v>
      </c>
      <c r="G45" s="900">
        <f t="shared" si="4"/>
        <v>33</v>
      </c>
      <c r="H45" s="900">
        <f t="shared" si="4"/>
        <v>423</v>
      </c>
      <c r="I45" s="901">
        <f t="shared" si="4"/>
        <v>-254</v>
      </c>
    </row>
    <row r="46" spans="1:9" ht="23.25" customHeight="1" thickBot="1">
      <c r="B46" s="1878"/>
      <c r="C46" s="902" t="e">
        <f>+C44*1/B41-1</f>
        <v>#DIV/0!</v>
      </c>
      <c r="D46" s="902">
        <f t="shared" ref="D46:I46" si="5">+D44*1/C44-1</f>
        <v>5.9907893217707731E-3</v>
      </c>
      <c r="E46" s="902">
        <f t="shared" si="5"/>
        <v>1.0086712573323053E-2</v>
      </c>
      <c r="F46" s="902">
        <f t="shared" si="5"/>
        <v>1.2826501369759269E-2</v>
      </c>
      <c r="G46" s="903">
        <f t="shared" si="5"/>
        <v>4.1133284305772122E-4</v>
      </c>
      <c r="H46" s="902">
        <f t="shared" si="5"/>
        <v>5.2703712932968827E-3</v>
      </c>
      <c r="I46" s="904">
        <f t="shared" si="5"/>
        <v>-3.148122900734962E-3</v>
      </c>
    </row>
    <row r="47" spans="1:9" ht="23.25" customHeight="1"/>
    <row r="48" spans="1:9" ht="23.25" customHeight="1" thickBot="1"/>
    <row r="49" spans="1:9" s="1007" customFormat="1" ht="34.5" customHeight="1" thickBot="1">
      <c r="A49" s="240" t="s">
        <v>32</v>
      </c>
      <c r="B49" s="241" t="s">
        <v>29</v>
      </c>
      <c r="C49" s="242" t="s">
        <v>101</v>
      </c>
      <c r="D49" s="242" t="s">
        <v>245</v>
      </c>
      <c r="E49" s="242" t="s">
        <v>242</v>
      </c>
      <c r="F49" s="242" t="s">
        <v>776</v>
      </c>
      <c r="G49" s="243" t="s">
        <v>777</v>
      </c>
      <c r="H49" s="1008"/>
    </row>
    <row r="50" spans="1:9" s="1007" customFormat="1" ht="21" customHeight="1">
      <c r="A50" s="1210" t="s">
        <v>808</v>
      </c>
      <c r="B50" s="1211"/>
      <c r="C50" s="1131">
        <f>+C6</f>
        <v>80683</v>
      </c>
      <c r="D50" s="1128"/>
      <c r="E50" s="1128"/>
      <c r="F50" s="1128"/>
      <c r="G50" s="1129"/>
      <c r="I50" s="1007">
        <v>80683</v>
      </c>
    </row>
    <row r="51" spans="1:9" s="1007" customFormat="1" ht="21" customHeight="1">
      <c r="A51" s="1863" t="s">
        <v>778</v>
      </c>
      <c r="B51" s="1864"/>
      <c r="C51" s="1864"/>
      <c r="D51" s="1864"/>
      <c r="E51" s="1864"/>
      <c r="F51" s="1864"/>
      <c r="G51" s="1865"/>
      <c r="I51" s="1008">
        <f>+I50-G59</f>
        <v>254</v>
      </c>
    </row>
    <row r="52" spans="1:9" s="1007" customFormat="1" ht="17.25" customHeight="1">
      <c r="A52" s="1160" t="s">
        <v>612</v>
      </c>
      <c r="B52" s="1132" t="str">
        <f>+'PARTE DIC2021'!D126</f>
        <v>EPMSCPEN Pensilvania</v>
      </c>
      <c r="C52" s="1133">
        <v>80</v>
      </c>
      <c r="D52" s="1214">
        <v>16</v>
      </c>
      <c r="E52" s="1214">
        <v>54</v>
      </c>
      <c r="F52" s="1215">
        <f>+C52+D52-E52</f>
        <v>42</v>
      </c>
      <c r="G52" s="1216">
        <f>+C50+D52-E52</f>
        <v>80645</v>
      </c>
      <c r="H52" s="1008"/>
    </row>
    <row r="53" spans="1:9" s="1007" customFormat="1" ht="17.25" customHeight="1">
      <c r="A53" s="1224" t="s">
        <v>780</v>
      </c>
      <c r="B53" s="1212" t="s">
        <v>742</v>
      </c>
      <c r="C53" s="1213">
        <v>0</v>
      </c>
      <c r="D53" s="1217">
        <v>270</v>
      </c>
      <c r="E53" s="1217">
        <v>15</v>
      </c>
      <c r="F53" s="1217">
        <f t="shared" ref="F53:F58" si="6">+C53+D53-E53</f>
        <v>255</v>
      </c>
      <c r="G53" s="1218">
        <f t="shared" ref="G53:G58" si="7">+G52+D53-E53</f>
        <v>80900</v>
      </c>
      <c r="H53" s="1008"/>
      <c r="I53" s="1008"/>
    </row>
    <row r="54" spans="1:9" s="1007" customFormat="1" ht="17.25" customHeight="1">
      <c r="A54" s="1225" t="s">
        <v>13</v>
      </c>
      <c r="B54" s="1159" t="s">
        <v>524</v>
      </c>
      <c r="C54" s="245">
        <v>70</v>
      </c>
      <c r="D54" s="1219">
        <v>8</v>
      </c>
      <c r="E54" s="1219">
        <v>16</v>
      </c>
      <c r="F54" s="1219">
        <f t="shared" si="6"/>
        <v>62</v>
      </c>
      <c r="G54" s="1220">
        <f t="shared" si="7"/>
        <v>80892</v>
      </c>
    </row>
    <row r="55" spans="1:9" s="1007" customFormat="1" ht="17.25" customHeight="1">
      <c r="A55" s="1224" t="s">
        <v>53</v>
      </c>
      <c r="B55" s="1212" t="s">
        <v>781</v>
      </c>
      <c r="C55" s="1213">
        <v>280</v>
      </c>
      <c r="D55" s="1217">
        <v>608</v>
      </c>
      <c r="E55" s="1217"/>
      <c r="F55" s="1217">
        <f t="shared" si="6"/>
        <v>888</v>
      </c>
      <c r="G55" s="1218">
        <f t="shared" si="7"/>
        <v>81500</v>
      </c>
    </row>
    <row r="56" spans="1:9" s="1007" customFormat="1" ht="17.25" customHeight="1">
      <c r="A56" s="1225" t="s">
        <v>54</v>
      </c>
      <c r="B56" s="1159" t="s">
        <v>533</v>
      </c>
      <c r="C56" s="245" t="e">
        <f>+#REF!</f>
        <v>#REF!</v>
      </c>
      <c r="D56" s="1219">
        <v>24</v>
      </c>
      <c r="E56" s="1219"/>
      <c r="F56" s="1219"/>
      <c r="G56" s="1220">
        <f t="shared" si="7"/>
        <v>81524</v>
      </c>
      <c r="I56" s="515"/>
    </row>
    <row r="57" spans="1:9" s="1007" customFormat="1" ht="17.25" customHeight="1">
      <c r="A57" s="1224" t="s">
        <v>56</v>
      </c>
      <c r="B57" s="1212" t="s">
        <v>535</v>
      </c>
      <c r="C57" s="1213">
        <v>1622</v>
      </c>
      <c r="D57" s="1217">
        <v>802</v>
      </c>
      <c r="E57" s="1217"/>
      <c r="F57" s="1217">
        <f t="shared" si="6"/>
        <v>2424</v>
      </c>
      <c r="G57" s="1218">
        <f t="shared" si="7"/>
        <v>82326</v>
      </c>
      <c r="I57" s="515"/>
    </row>
    <row r="58" spans="1:9" s="1007" customFormat="1" ht="17.25" customHeight="1" thickBot="1">
      <c r="A58" s="1226" t="s">
        <v>248</v>
      </c>
      <c r="B58" s="1208" t="s">
        <v>455</v>
      </c>
      <c r="C58" s="1209">
        <v>326</v>
      </c>
      <c r="D58" s="1221"/>
      <c r="E58" s="1221">
        <v>1897</v>
      </c>
      <c r="F58" s="1221">
        <f t="shared" si="6"/>
        <v>-1571</v>
      </c>
      <c r="G58" s="1222">
        <f t="shared" si="7"/>
        <v>80429</v>
      </c>
      <c r="I58" s="515"/>
    </row>
    <row r="59" spans="1:9" s="1007" customFormat="1" ht="35.25" customHeight="1" thickBot="1">
      <c r="A59" s="1872" t="s">
        <v>775</v>
      </c>
      <c r="B59" s="1873"/>
      <c r="C59" s="653"/>
      <c r="D59" s="1223">
        <f>SUM(D52:D58)</f>
        <v>1728</v>
      </c>
      <c r="E59" s="1223">
        <f>SUM(E52:E58)</f>
        <v>1982</v>
      </c>
      <c r="F59" s="1223"/>
      <c r="G59" s="1207">
        <f>+G58</f>
        <v>80429</v>
      </c>
      <c r="I59" s="15">
        <f>+G59*1/I50-1</f>
        <v>-3.148122900734962E-3</v>
      </c>
    </row>
    <row r="60" spans="1:9" s="1007" customFormat="1">
      <c r="A60" s="1007" t="s">
        <v>379</v>
      </c>
    </row>
    <row r="66" ht="12.75" customHeight="1"/>
  </sheetData>
  <mergeCells count="10">
    <mergeCell ref="A59:B59"/>
    <mergeCell ref="A51:G51"/>
    <mergeCell ref="A20:A36"/>
    <mergeCell ref="B45:B46"/>
    <mergeCell ref="A37:B37"/>
    <mergeCell ref="A3:G3"/>
    <mergeCell ref="A6:B6"/>
    <mergeCell ref="A7:G7"/>
    <mergeCell ref="A8:A10"/>
    <mergeCell ref="A11:A1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FFC000"/>
  </sheetPr>
  <dimension ref="A1:R149"/>
  <sheetViews>
    <sheetView topLeftCell="B1" zoomScale="80" zoomScaleNormal="80" workbookViewId="0">
      <selection activeCell="J43" sqref="J43"/>
    </sheetView>
  </sheetViews>
  <sheetFormatPr baseColWidth="10" defaultColWidth="14.42578125" defaultRowHeight="15"/>
  <cols>
    <col min="1" max="1" width="4.7109375" style="127" bestFit="1" customWidth="1"/>
    <col min="2" max="2" width="5.140625" style="127" bestFit="1" customWidth="1"/>
    <col min="3" max="3" width="27" style="127" customWidth="1"/>
    <col min="4" max="5" width="8.7109375" style="127" hidden="1" customWidth="1"/>
    <col min="6" max="15" width="8.7109375" style="127" customWidth="1"/>
    <col min="16" max="16" width="7.42578125" style="127" customWidth="1"/>
    <col min="17" max="17" width="7.42578125" style="1142" customWidth="1"/>
    <col min="18" max="18" width="2" style="127" bestFit="1" customWidth="1"/>
    <col min="19" max="16384" width="14.42578125" style="127"/>
  </cols>
  <sheetData>
    <row r="1" spans="1:18" ht="32.25" customHeight="1">
      <c r="A1" s="89"/>
      <c r="B1" s="90"/>
      <c r="C1" s="1713"/>
      <c r="D1" s="128"/>
      <c r="E1" s="128"/>
      <c r="F1" s="1715" t="str">
        <f>[1]Parametros!X3</f>
        <v/>
      </c>
      <c r="G1" s="1713"/>
      <c r="H1" s="1713"/>
      <c r="I1" s="1713"/>
      <c r="J1" s="1713"/>
      <c r="K1" s="1713"/>
      <c r="L1" s="1712" t="str">
        <f>[1]Parametros!X4</f>
        <v/>
      </c>
      <c r="M1" s="1713"/>
      <c r="N1" s="1713"/>
      <c r="O1" s="1713"/>
      <c r="P1" s="1713"/>
      <c r="Q1" s="1713"/>
      <c r="R1" s="1713"/>
    </row>
    <row r="2" spans="1:18" ht="13.5" customHeight="1">
      <c r="A2" s="89"/>
      <c r="B2" s="90"/>
      <c r="C2" s="1881"/>
      <c r="D2" s="107"/>
      <c r="E2" s="107"/>
      <c r="F2" s="1713"/>
      <c r="G2" s="1713"/>
      <c r="H2" s="1713"/>
      <c r="I2" s="1713"/>
      <c r="J2" s="1713"/>
      <c r="K2" s="1713"/>
      <c r="L2" s="1713"/>
      <c r="M2" s="1713"/>
      <c r="N2" s="1713"/>
      <c r="O2" s="1713"/>
      <c r="P2" s="1713"/>
      <c r="Q2" s="1713"/>
      <c r="R2" s="1713"/>
    </row>
    <row r="3" spans="1:18" ht="18.75" customHeight="1">
      <c r="A3" s="91"/>
      <c r="B3" s="92"/>
      <c r="C3" s="1714"/>
      <c r="D3" s="1714"/>
      <c r="E3" s="1714"/>
      <c r="F3" s="1714"/>
      <c r="G3" s="1714"/>
      <c r="H3" s="1714"/>
      <c r="I3" s="1714"/>
      <c r="J3" s="1714"/>
      <c r="K3" s="1714"/>
      <c r="L3" s="1714"/>
      <c r="M3" s="1714"/>
      <c r="N3" s="1714"/>
      <c r="O3" s="1714"/>
      <c r="P3" s="1714"/>
      <c r="Q3" s="1714"/>
      <c r="R3" s="1714"/>
    </row>
    <row r="4" spans="1:18" ht="2.25" customHeight="1">
      <c r="A4" s="91"/>
      <c r="B4" s="92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1141"/>
      <c r="R4" s="83"/>
    </row>
    <row r="5" spans="1:18" ht="9" customHeight="1">
      <c r="A5" s="91"/>
      <c r="B5" s="92"/>
      <c r="C5" s="93"/>
    </row>
    <row r="6" spans="1:18" ht="15" customHeight="1">
      <c r="C6" s="1094"/>
      <c r="E6" s="124"/>
      <c r="F6" s="1724">
        <v>44561</v>
      </c>
      <c r="G6" s="1725"/>
      <c r="H6" s="1726"/>
      <c r="I6" s="125"/>
      <c r="J6" s="125"/>
      <c r="K6" s="125"/>
      <c r="L6" s="125"/>
      <c r="M6" s="125"/>
      <c r="N6" s="125"/>
      <c r="O6" s="125"/>
      <c r="P6" s="125"/>
      <c r="Q6" s="1143"/>
      <c r="R6" s="125"/>
    </row>
    <row r="7" spans="1:18" ht="15" customHeight="1">
      <c r="A7" s="108"/>
      <c r="C7" s="1882"/>
      <c r="D7" s="84"/>
      <c r="E7" s="84"/>
      <c r="F7" s="1727" t="s">
        <v>140</v>
      </c>
      <c r="G7" s="1728"/>
      <c r="H7" s="1729"/>
      <c r="I7" s="1730" t="s">
        <v>141</v>
      </c>
      <c r="J7" s="1731"/>
      <c r="K7" s="1731"/>
      <c r="L7" s="1731"/>
      <c r="M7" s="1731"/>
      <c r="N7" s="1731"/>
      <c r="O7" s="109"/>
      <c r="P7" s="109"/>
      <c r="Q7" s="1144"/>
      <c r="R7" s="109"/>
    </row>
    <row r="8" spans="1:18" ht="15.75" customHeight="1">
      <c r="A8" s="110"/>
      <c r="C8" s="1713"/>
      <c r="D8" s="1720" t="s">
        <v>14</v>
      </c>
      <c r="E8" s="1711"/>
      <c r="F8" s="1716" t="s">
        <v>142</v>
      </c>
      <c r="G8" s="1718" t="s">
        <v>143</v>
      </c>
      <c r="H8" s="1719"/>
      <c r="I8" s="1720" t="s">
        <v>8</v>
      </c>
      <c r="J8" s="1711"/>
      <c r="K8" s="1721"/>
      <c r="L8" s="1720" t="s">
        <v>9</v>
      </c>
      <c r="M8" s="1711"/>
      <c r="N8" s="1721"/>
      <c r="O8" s="1722" t="s">
        <v>119</v>
      </c>
      <c r="P8" s="1710" t="s">
        <v>144</v>
      </c>
      <c r="Q8" s="1711"/>
      <c r="R8" s="111"/>
    </row>
    <row r="9" spans="1:18" ht="15.75" customHeight="1">
      <c r="A9" s="108"/>
      <c r="B9" s="85" t="s">
        <v>145</v>
      </c>
      <c r="C9" s="86" t="s">
        <v>57</v>
      </c>
      <c r="D9" s="112" t="s">
        <v>45</v>
      </c>
      <c r="E9" s="112" t="s">
        <v>77</v>
      </c>
      <c r="F9" s="1717"/>
      <c r="G9" s="113" t="s">
        <v>45</v>
      </c>
      <c r="H9" s="113" t="s">
        <v>77</v>
      </c>
      <c r="I9" s="113" t="s">
        <v>45</v>
      </c>
      <c r="J9" s="113" t="s">
        <v>77</v>
      </c>
      <c r="K9" s="113" t="s">
        <v>146</v>
      </c>
      <c r="L9" s="113" t="s">
        <v>45</v>
      </c>
      <c r="M9" s="113" t="s">
        <v>77</v>
      </c>
      <c r="N9" s="113" t="s">
        <v>146</v>
      </c>
      <c r="O9" s="1723"/>
      <c r="P9" s="113" t="s">
        <v>147</v>
      </c>
      <c r="Q9" s="1145" t="s">
        <v>148</v>
      </c>
      <c r="R9" s="111"/>
    </row>
    <row r="10" spans="1:18" ht="15.75" customHeight="1">
      <c r="A10" s="94" t="str">
        <f t="shared" ref="A10:A141" si="0">LEFT(C10,3)</f>
        <v>COB</v>
      </c>
      <c r="B10" s="87">
        <f>IF(ISBLANK(C10),0,1)</f>
        <v>1</v>
      </c>
      <c r="C10" s="95" t="str">
        <f>+'PARTE DIC2021'!D19</f>
        <v>COBOG-ERE-JP Bogotá</v>
      </c>
      <c r="D10" s="95" t="e">
        <f>+'PARTE DIC2021'!#REF!</f>
        <v>#REF!</v>
      </c>
      <c r="E10" s="95" t="e">
        <f>+'PARTE DIC2021'!#REF!</f>
        <v>#REF!</v>
      </c>
      <c r="F10" s="95">
        <f>+'PARTE DIC2021'!E19</f>
        <v>5970</v>
      </c>
      <c r="G10" s="95">
        <f>+'PARTE DIC2021'!F19</f>
        <v>6873</v>
      </c>
      <c r="H10" s="95">
        <f>+'PARTE DIC2021'!G19</f>
        <v>4</v>
      </c>
      <c r="I10" s="95">
        <f>+'PARTE DIC2021'!H19</f>
        <v>1703</v>
      </c>
      <c r="J10" s="95">
        <f>+'PARTE DIC2021'!I19</f>
        <v>0</v>
      </c>
      <c r="K10" s="95">
        <f>+'PARTE DIC2021'!J19</f>
        <v>1703</v>
      </c>
      <c r="L10" s="95">
        <f>+'PARTE DIC2021'!K19</f>
        <v>5170</v>
      </c>
      <c r="M10" s="95">
        <f>+'PARTE DIC2021'!L19</f>
        <v>4</v>
      </c>
      <c r="N10" s="95">
        <f>+'PARTE DIC2021'!M19</f>
        <v>5174</v>
      </c>
      <c r="O10" s="95">
        <f>+'PARTE DIC2021'!N19</f>
        <v>6877</v>
      </c>
      <c r="P10" s="95">
        <f>+'PARTE DIC2021'!O19</f>
        <v>907</v>
      </c>
      <c r="Q10" s="1146">
        <f>+'PARTE DIC2021'!P19</f>
        <v>0.15192629815745384</v>
      </c>
      <c r="R10" s="98"/>
    </row>
    <row r="11" spans="1:18" ht="15.75" customHeight="1">
      <c r="A11" s="94" t="str">
        <f t="shared" si="0"/>
        <v>COI</v>
      </c>
      <c r="B11" s="88">
        <f t="shared" ref="B11:B42" si="1">IF(ISBLANK(C11),0,B10+1)</f>
        <v>2</v>
      </c>
      <c r="C11" s="95" t="str">
        <f>+'PARTE DIC2021'!D142</f>
        <v>COIBA-ERE Ibagué</v>
      </c>
      <c r="D11" s="95" t="e">
        <f>+'PARTE DIC2021'!#REF!</f>
        <v>#REF!</v>
      </c>
      <c r="E11" s="95" t="e">
        <f>+'PARTE DIC2021'!#REF!</f>
        <v>#REF!</v>
      </c>
      <c r="F11" s="95">
        <f>+'PARTE DIC2021'!E142</f>
        <v>4642</v>
      </c>
      <c r="G11" s="95">
        <f>+'PARTE DIC2021'!F142</f>
        <v>4328</v>
      </c>
      <c r="H11" s="95">
        <f>+'PARTE DIC2021'!G142</f>
        <v>395</v>
      </c>
      <c r="I11" s="95">
        <f>+'PARTE DIC2021'!H142</f>
        <v>919</v>
      </c>
      <c r="J11" s="95">
        <f>+'PARTE DIC2021'!I142</f>
        <v>140</v>
      </c>
      <c r="K11" s="95">
        <f>+'PARTE DIC2021'!J142</f>
        <v>1059</v>
      </c>
      <c r="L11" s="95">
        <f>+'PARTE DIC2021'!K142</f>
        <v>3409</v>
      </c>
      <c r="M11" s="95">
        <f>+'PARTE DIC2021'!L142</f>
        <v>255</v>
      </c>
      <c r="N11" s="95">
        <f>+'PARTE DIC2021'!M142</f>
        <v>3664</v>
      </c>
      <c r="O11" s="95">
        <f>+'PARTE DIC2021'!N142</f>
        <v>4723</v>
      </c>
      <c r="P11" s="95">
        <f>+'PARTE DIC2021'!O142</f>
        <v>81</v>
      </c>
      <c r="Q11" s="95">
        <f>+'PARTE DIC2021'!P142</f>
        <v>1.7449375269280587E-2</v>
      </c>
      <c r="R11" s="98"/>
    </row>
    <row r="12" spans="1:18" ht="15.75" customHeight="1">
      <c r="A12" s="94" t="str">
        <f t="shared" si="0"/>
        <v>COJ</v>
      </c>
      <c r="B12" s="88">
        <f t="shared" si="1"/>
        <v>3</v>
      </c>
      <c r="C12" s="95" t="str">
        <f>+'PARTE DIC2021'!D73</f>
        <v>COJAM Jamundí</v>
      </c>
      <c r="D12" s="95" t="e">
        <f>+'PARTE DIC2021'!#REF!</f>
        <v>#REF!</v>
      </c>
      <c r="E12" s="95" t="e">
        <f>+'PARTE DIC2021'!#REF!</f>
        <v>#REF!</v>
      </c>
      <c r="F12" s="95">
        <f>+'PARTE DIC2021'!E73</f>
        <v>4444</v>
      </c>
      <c r="G12" s="95">
        <f>+'PARTE DIC2021'!F73</f>
        <v>3258</v>
      </c>
      <c r="H12" s="95">
        <f>+'PARTE DIC2021'!G73</f>
        <v>1056</v>
      </c>
      <c r="I12" s="95">
        <f>+'PARTE DIC2021'!H73</f>
        <v>207</v>
      </c>
      <c r="J12" s="95">
        <f>+'PARTE DIC2021'!I73</f>
        <v>357</v>
      </c>
      <c r="K12" s="95">
        <f>+'PARTE DIC2021'!J73</f>
        <v>564</v>
      </c>
      <c r="L12" s="95">
        <f>+'PARTE DIC2021'!K73</f>
        <v>3051</v>
      </c>
      <c r="M12" s="95">
        <f>+'PARTE DIC2021'!L73</f>
        <v>699</v>
      </c>
      <c r="N12" s="95">
        <f>+'PARTE DIC2021'!M73</f>
        <v>3750</v>
      </c>
      <c r="O12" s="95">
        <f>+'PARTE DIC2021'!N73</f>
        <v>4314</v>
      </c>
      <c r="P12" s="95">
        <f>+'PARTE DIC2021'!O73</f>
        <v>-130</v>
      </c>
      <c r="Q12" s="1146">
        <f>+'PARTE DIC2021'!P73</f>
        <v>-2.9252925292529208E-2</v>
      </c>
      <c r="R12" s="98"/>
    </row>
    <row r="13" spans="1:18" ht="15.75" customHeight="1">
      <c r="A13" s="94" t="str">
        <f t="shared" si="0"/>
        <v>COP</v>
      </c>
      <c r="B13" s="88">
        <f t="shared" si="1"/>
        <v>4</v>
      </c>
      <c r="C13" s="95" t="str">
        <f>+'PARTE DIC2021'!D121</f>
        <v>COPED Medellín Pedregal</v>
      </c>
      <c r="D13" s="95" t="e">
        <f>+'PARTE DIC2021'!#REF!</f>
        <v>#REF!</v>
      </c>
      <c r="E13" s="95" t="e">
        <f>+'PARTE DIC2021'!#REF!</f>
        <v>#REF!</v>
      </c>
      <c r="F13" s="95">
        <f>+'PARTE DIC2021'!E121</f>
        <v>3165</v>
      </c>
      <c r="G13" s="95">
        <f>+'PARTE DIC2021'!F121</f>
        <v>2282</v>
      </c>
      <c r="H13" s="95">
        <f>+'PARTE DIC2021'!G121</f>
        <v>1099</v>
      </c>
      <c r="I13" s="95">
        <f>+'PARTE DIC2021'!H121</f>
        <v>636</v>
      </c>
      <c r="J13" s="95">
        <f>+'PARTE DIC2021'!I121</f>
        <v>407</v>
      </c>
      <c r="K13" s="95">
        <f>+'PARTE DIC2021'!J121</f>
        <v>1043</v>
      </c>
      <c r="L13" s="95">
        <f>+'PARTE DIC2021'!K121</f>
        <v>1646</v>
      </c>
      <c r="M13" s="95">
        <f>+'PARTE DIC2021'!L121</f>
        <v>692</v>
      </c>
      <c r="N13" s="95">
        <f>+'PARTE DIC2021'!M121</f>
        <v>2338</v>
      </c>
      <c r="O13" s="95">
        <f>+'PARTE DIC2021'!N121</f>
        <v>3381</v>
      </c>
      <c r="P13" s="95">
        <f>+'PARTE DIC2021'!O121</f>
        <v>216</v>
      </c>
      <c r="Q13" s="1146">
        <f>+'PARTE DIC2021'!P121</f>
        <v>6.824644549763037E-2</v>
      </c>
      <c r="R13" s="98"/>
    </row>
    <row r="14" spans="1:18" ht="15.75" customHeight="1">
      <c r="A14" s="94" t="str">
        <f t="shared" si="0"/>
        <v>CPM</v>
      </c>
      <c r="B14" s="88">
        <f t="shared" si="1"/>
        <v>5</v>
      </c>
      <c r="C14" s="95" t="str">
        <f>+'PARTE DIC2021'!D20</f>
        <v>CPMSBOG - Bogotá</v>
      </c>
      <c r="D14" s="95" t="e">
        <f>+'PARTE DIC2021'!#REF!</f>
        <v>#REF!</v>
      </c>
      <c r="E14" s="95" t="e">
        <f>+'PARTE DIC2021'!#REF!</f>
        <v>#REF!</v>
      </c>
      <c r="F14" s="95">
        <f>+'PARTE DIC2021'!E20</f>
        <v>2905</v>
      </c>
      <c r="G14" s="95">
        <f>+'PARTE DIC2021'!F20</f>
        <v>3360</v>
      </c>
      <c r="H14" s="95">
        <f>+'PARTE DIC2021'!G20</f>
        <v>0</v>
      </c>
      <c r="I14" s="95">
        <f>+'PARTE DIC2021'!H20</f>
        <v>917</v>
      </c>
      <c r="J14" s="95">
        <f>+'PARTE DIC2021'!I20</f>
        <v>0</v>
      </c>
      <c r="K14" s="95">
        <f>+'PARTE DIC2021'!J20</f>
        <v>917</v>
      </c>
      <c r="L14" s="95">
        <f>+'PARTE DIC2021'!K20</f>
        <v>2443</v>
      </c>
      <c r="M14" s="95">
        <f>+'PARTE DIC2021'!L20</f>
        <v>0</v>
      </c>
      <c r="N14" s="95">
        <f>+'PARTE DIC2021'!M20</f>
        <v>2443</v>
      </c>
      <c r="O14" s="95">
        <f>+'PARTE DIC2021'!N20</f>
        <v>3360</v>
      </c>
      <c r="P14" s="95">
        <f>+'PARTE DIC2021'!O20</f>
        <v>455</v>
      </c>
      <c r="Q14" s="1146">
        <f>+'PARTE DIC2021'!P20</f>
        <v>0.15662650602409633</v>
      </c>
      <c r="R14" s="98"/>
    </row>
    <row r="15" spans="1:18" ht="15.75" customHeight="1">
      <c r="A15" s="94" t="str">
        <f t="shared" si="0"/>
        <v>PMS</v>
      </c>
      <c r="B15" s="88">
        <f t="shared" si="1"/>
        <v>6</v>
      </c>
      <c r="C15" s="95" t="str">
        <f>+'PARTE DIC2021'!D48</f>
        <v>PMSLEGU La Esperanza de Guaduas</v>
      </c>
      <c r="D15" s="95" t="e">
        <f>+'PARTE DIC2021'!#REF!</f>
        <v>#REF!</v>
      </c>
      <c r="E15" s="95" t="e">
        <f>+'PARTE DIC2021'!#REF!</f>
        <v>#REF!</v>
      </c>
      <c r="F15" s="95">
        <f>+'PARTE DIC2021'!E48</f>
        <v>2822</v>
      </c>
      <c r="G15" s="95">
        <f>+'PARTE DIC2021'!F48</f>
        <v>2735</v>
      </c>
      <c r="H15" s="95">
        <f>+'PARTE DIC2021'!G48</f>
        <v>0</v>
      </c>
      <c r="I15" s="95">
        <f>+'PARTE DIC2021'!H48</f>
        <v>173</v>
      </c>
      <c r="J15" s="95">
        <f>+'PARTE DIC2021'!I48</f>
        <v>0</v>
      </c>
      <c r="K15" s="95">
        <f>+'PARTE DIC2021'!J48</f>
        <v>173</v>
      </c>
      <c r="L15" s="95">
        <f>+'PARTE DIC2021'!K48</f>
        <v>2562</v>
      </c>
      <c r="M15" s="95">
        <f>+'PARTE DIC2021'!L48</f>
        <v>0</v>
      </c>
      <c r="N15" s="95">
        <f>+'PARTE DIC2021'!M48</f>
        <v>2562</v>
      </c>
      <c r="O15" s="95">
        <f>+'PARTE DIC2021'!N48</f>
        <v>2735</v>
      </c>
      <c r="P15" s="95">
        <f>+'PARTE DIC2021'!O48</f>
        <v>-87</v>
      </c>
      <c r="Q15" s="1146">
        <f>+'PARTE DIC2021'!P48</f>
        <v>-3.0829199149539299E-2</v>
      </c>
      <c r="R15" s="98"/>
    </row>
    <row r="16" spans="1:18" ht="15.75" customHeight="1">
      <c r="A16" s="94" t="str">
        <f t="shared" si="0"/>
        <v>CPA</v>
      </c>
      <c r="B16" s="88">
        <f t="shared" si="1"/>
        <v>7</v>
      </c>
      <c r="C16" s="95" t="str">
        <f>+'PARTE DIC2021'!D45</f>
        <v>CPAMSEB El Barne</v>
      </c>
      <c r="D16" s="95" t="e">
        <f>+'PARTE DIC2021'!#REF!</f>
        <v>#REF!</v>
      </c>
      <c r="E16" s="95" t="e">
        <f>+'PARTE DIC2021'!#REF!</f>
        <v>#REF!</v>
      </c>
      <c r="F16" s="95">
        <f>+'PARTE DIC2021'!E45</f>
        <v>2664</v>
      </c>
      <c r="G16" s="95">
        <f>+'PARTE DIC2021'!F45</f>
        <v>3941</v>
      </c>
      <c r="H16" s="95">
        <f>+'PARTE DIC2021'!G45</f>
        <v>0</v>
      </c>
      <c r="I16" s="95">
        <f>+'PARTE DIC2021'!H45</f>
        <v>474</v>
      </c>
      <c r="J16" s="95">
        <f>+'PARTE DIC2021'!I45</f>
        <v>0</v>
      </c>
      <c r="K16" s="95">
        <f>+'PARTE DIC2021'!J45</f>
        <v>474</v>
      </c>
      <c r="L16" s="95">
        <f>+'PARTE DIC2021'!K45</f>
        <v>3467</v>
      </c>
      <c r="M16" s="95">
        <f>+'PARTE DIC2021'!L45</f>
        <v>0</v>
      </c>
      <c r="N16" s="95">
        <f>+'PARTE DIC2021'!M45</f>
        <v>3467</v>
      </c>
      <c r="O16" s="95">
        <f>+'PARTE DIC2021'!N45</f>
        <v>3941</v>
      </c>
      <c r="P16" s="95">
        <f>+'PARTE DIC2021'!O45</f>
        <v>1277</v>
      </c>
      <c r="Q16" s="1146">
        <f>+'PARTE DIC2021'!P45</f>
        <v>0.47935435435435436</v>
      </c>
      <c r="R16" s="98"/>
    </row>
    <row r="17" spans="1:18" ht="15.75" customHeight="1">
      <c r="A17" s="94" t="str">
        <f t="shared" si="0"/>
        <v>COC</v>
      </c>
      <c r="B17" s="88">
        <f t="shared" si="1"/>
        <v>8</v>
      </c>
      <c r="C17" s="95" t="str">
        <f>+'PARTE DIC2021'!D102</f>
        <v>COCUC - ERE Cúcuta</v>
      </c>
      <c r="D17" s="95" t="e">
        <f>+'PARTE DIC2021'!#REF!</f>
        <v>#REF!</v>
      </c>
      <c r="E17" s="95" t="e">
        <f>+'PARTE DIC2021'!#REF!</f>
        <v>#REF!</v>
      </c>
      <c r="F17" s="95">
        <f>+'PARTE DIC2021'!E102</f>
        <v>2636</v>
      </c>
      <c r="G17" s="95">
        <f>+'PARTE DIC2021'!F102</f>
        <v>2924</v>
      </c>
      <c r="H17" s="95">
        <f>+'PARTE DIC2021'!G102</f>
        <v>375</v>
      </c>
      <c r="I17" s="95">
        <f>+'PARTE DIC2021'!H102</f>
        <v>1167</v>
      </c>
      <c r="J17" s="95">
        <f>+'PARTE DIC2021'!I102</f>
        <v>163</v>
      </c>
      <c r="K17" s="95">
        <f>+'PARTE DIC2021'!J102</f>
        <v>1330</v>
      </c>
      <c r="L17" s="95">
        <f>+'PARTE DIC2021'!K102</f>
        <v>1757</v>
      </c>
      <c r="M17" s="95">
        <f>+'PARTE DIC2021'!L102</f>
        <v>212</v>
      </c>
      <c r="N17" s="95">
        <f>+'PARTE DIC2021'!M102</f>
        <v>1969</v>
      </c>
      <c r="O17" s="95">
        <f>+'PARTE DIC2021'!N102</f>
        <v>3299</v>
      </c>
      <c r="P17" s="95">
        <f>+'PARTE DIC2021'!O102</f>
        <v>663</v>
      </c>
      <c r="Q17" s="1146">
        <f>+'PARTE DIC2021'!P102</f>
        <v>0.25151745068285281</v>
      </c>
      <c r="R17" s="98"/>
    </row>
    <row r="18" spans="1:18" ht="15.75" customHeight="1">
      <c r="A18" s="94" t="str">
        <f t="shared" si="0"/>
        <v>CPA</v>
      </c>
      <c r="B18" s="88">
        <f t="shared" si="1"/>
        <v>9</v>
      </c>
      <c r="C18" s="95" t="str">
        <f>+'PARTE DIC2021'!D68</f>
        <v>CPAMSPY-ERE Popayán</v>
      </c>
      <c r="D18" s="95" t="e">
        <f>+'PARTE DIC2021'!#REF!</f>
        <v>#REF!</v>
      </c>
      <c r="E18" s="95" t="e">
        <f>+'PARTE DIC2021'!#REF!</f>
        <v>#REF!</v>
      </c>
      <c r="F18" s="95">
        <f>+'PARTE DIC2021'!E68</f>
        <v>2524</v>
      </c>
      <c r="G18" s="95">
        <f>+'PARTE DIC2021'!F68</f>
        <v>2505</v>
      </c>
      <c r="H18" s="95">
        <f>+'PARTE DIC2021'!G68</f>
        <v>0</v>
      </c>
      <c r="I18" s="95">
        <f>+'PARTE DIC2021'!H68</f>
        <v>731</v>
      </c>
      <c r="J18" s="95">
        <f>+'PARTE DIC2021'!I68</f>
        <v>0</v>
      </c>
      <c r="K18" s="95">
        <f>+'PARTE DIC2021'!J68</f>
        <v>731</v>
      </c>
      <c r="L18" s="95">
        <f>+'PARTE DIC2021'!K68</f>
        <v>1774</v>
      </c>
      <c r="M18" s="95">
        <f>+'PARTE DIC2021'!L68</f>
        <v>0</v>
      </c>
      <c r="N18" s="95">
        <f>+'PARTE DIC2021'!M68</f>
        <v>1774</v>
      </c>
      <c r="O18" s="95">
        <f>+'PARTE DIC2021'!N68</f>
        <v>2505</v>
      </c>
      <c r="P18" s="95">
        <f>+'PARTE DIC2021'!O68</f>
        <v>-19</v>
      </c>
      <c r="Q18" s="1146">
        <f>+'PARTE DIC2021'!P68</f>
        <v>-7.5277337559429558E-3</v>
      </c>
      <c r="R18" s="98"/>
    </row>
    <row r="19" spans="1:18" ht="15.75" customHeight="1">
      <c r="A19" s="94" t="str">
        <f t="shared" si="0"/>
        <v>CPA</v>
      </c>
      <c r="B19" s="88">
        <f t="shared" si="1"/>
        <v>10</v>
      </c>
      <c r="C19" s="95" t="str">
        <f>+'PARTE DIC2021'!D101</f>
        <v>CPAMSGIR Girón</v>
      </c>
      <c r="D19" s="95" t="e">
        <f>+'PARTE DIC2021'!#REF!</f>
        <v>#REF!</v>
      </c>
      <c r="E19" s="95" t="e">
        <f>+'PARTE DIC2021'!#REF!</f>
        <v>#REF!</v>
      </c>
      <c r="F19" s="95">
        <f>+'PARTE DIC2021'!E101</f>
        <v>2424</v>
      </c>
      <c r="G19" s="95">
        <f>+'PARTE DIC2021'!F101</f>
        <v>2148</v>
      </c>
      <c r="H19" s="95">
        <f>+'PARTE DIC2021'!G101</f>
        <v>0</v>
      </c>
      <c r="I19" s="95">
        <f>+'PARTE DIC2021'!H101</f>
        <v>177</v>
      </c>
      <c r="J19" s="95">
        <f>+'PARTE DIC2021'!I101</f>
        <v>0</v>
      </c>
      <c r="K19" s="95">
        <f>+'PARTE DIC2021'!J101</f>
        <v>177</v>
      </c>
      <c r="L19" s="95">
        <f>+'PARTE DIC2021'!K101</f>
        <v>1971</v>
      </c>
      <c r="M19" s="95">
        <f>+'PARTE DIC2021'!L101</f>
        <v>0</v>
      </c>
      <c r="N19" s="95">
        <f>+'PARTE DIC2021'!M101</f>
        <v>1971</v>
      </c>
      <c r="O19" s="95">
        <f>+'PARTE DIC2021'!N101</f>
        <v>2148</v>
      </c>
      <c r="P19" s="95">
        <f>+'PARTE DIC2021'!O101</f>
        <v>-276</v>
      </c>
      <c r="Q19" s="1146">
        <f>+'PARTE DIC2021'!P101</f>
        <v>-0.11386138613861385</v>
      </c>
      <c r="R19" s="98"/>
    </row>
    <row r="20" spans="1:18" ht="15.75" customHeight="1">
      <c r="A20" s="94" t="str">
        <f t="shared" si="0"/>
        <v>CPM</v>
      </c>
      <c r="B20" s="88">
        <f t="shared" si="1"/>
        <v>11</v>
      </c>
      <c r="C20" s="95" t="str">
        <f>+'PARTE DIC2021'!D43</f>
        <v>CPMSACS - RM Acacias</v>
      </c>
      <c r="D20" s="95" t="e">
        <f>+'PARTE DIC2021'!#REF!</f>
        <v>#REF!</v>
      </c>
      <c r="E20" s="95" t="e">
        <f>+'PARTE DIC2021'!#REF!</f>
        <v>#REF!</v>
      </c>
      <c r="F20" s="95">
        <f>+'PARTE DIC2021'!E43</f>
        <v>2376</v>
      </c>
      <c r="G20" s="95">
        <f>+'PARTE DIC2021'!F43</f>
        <v>2567</v>
      </c>
      <c r="H20" s="95">
        <f>+'PARTE DIC2021'!G43</f>
        <v>118</v>
      </c>
      <c r="I20" s="95">
        <f>+'PARTE DIC2021'!H43</f>
        <v>168</v>
      </c>
      <c r="J20" s="95">
        <f>+'PARTE DIC2021'!I43</f>
        <v>37</v>
      </c>
      <c r="K20" s="95">
        <f>+'PARTE DIC2021'!J43</f>
        <v>205</v>
      </c>
      <c r="L20" s="95">
        <f>+'PARTE DIC2021'!K43</f>
        <v>2399</v>
      </c>
      <c r="M20" s="95">
        <f>+'PARTE DIC2021'!L43</f>
        <v>81</v>
      </c>
      <c r="N20" s="95">
        <f>+'PARTE DIC2021'!M43</f>
        <v>2480</v>
      </c>
      <c r="O20" s="95">
        <f>+'PARTE DIC2021'!N43</f>
        <v>2685</v>
      </c>
      <c r="P20" s="95">
        <f>+'PARTE DIC2021'!O43</f>
        <v>309</v>
      </c>
      <c r="Q20" s="1146">
        <f>+'PARTE DIC2021'!P43</f>
        <v>0.13005050505050497</v>
      </c>
      <c r="R20" s="98"/>
    </row>
    <row r="21" spans="1:18" ht="15.75" customHeight="1">
      <c r="A21" s="94" t="str">
        <f t="shared" si="0"/>
        <v>EPM</v>
      </c>
      <c r="B21" s="88">
        <f t="shared" si="1"/>
        <v>12</v>
      </c>
      <c r="C21" s="95" t="str">
        <f>+'PARTE DIC2021'!D64</f>
        <v>EPMSCCAL-ERE Cali</v>
      </c>
      <c r="D21" s="95" t="e">
        <f>+'PARTE DIC2021'!#REF!</f>
        <v>#REF!</v>
      </c>
      <c r="E21" s="95" t="e">
        <f>+'PARTE DIC2021'!#REF!</f>
        <v>#REF!</v>
      </c>
      <c r="F21" s="95">
        <f>+'PARTE DIC2021'!E64</f>
        <v>2046</v>
      </c>
      <c r="G21" s="95">
        <f>+'PARTE DIC2021'!F64</f>
        <v>4572</v>
      </c>
      <c r="H21" s="95">
        <f>+'PARTE DIC2021'!G64</f>
        <v>0</v>
      </c>
      <c r="I21" s="95">
        <f>+'PARTE DIC2021'!H64</f>
        <v>1683</v>
      </c>
      <c r="J21" s="95">
        <f>+'PARTE DIC2021'!I64</f>
        <v>0</v>
      </c>
      <c r="K21" s="95">
        <f>+'PARTE DIC2021'!J64</f>
        <v>1683</v>
      </c>
      <c r="L21" s="95">
        <f>+'PARTE DIC2021'!K64</f>
        <v>2889</v>
      </c>
      <c r="M21" s="95">
        <f>+'PARTE DIC2021'!L64</f>
        <v>0</v>
      </c>
      <c r="N21" s="95">
        <f>+'PARTE DIC2021'!M64</f>
        <v>2889</v>
      </c>
      <c r="O21" s="95">
        <f>+'PARTE DIC2021'!N64</f>
        <v>4572</v>
      </c>
      <c r="P21" s="95">
        <f>+'PARTE DIC2021'!O64</f>
        <v>2526</v>
      </c>
      <c r="Q21" s="1146">
        <f>+'PARTE DIC2021'!P64</f>
        <v>1.2346041055718473</v>
      </c>
      <c r="R21" s="98"/>
    </row>
    <row r="22" spans="1:18" ht="15.75" customHeight="1">
      <c r="A22" s="94" t="str">
        <f t="shared" si="0"/>
        <v>CPA</v>
      </c>
      <c r="B22" s="88">
        <f t="shared" si="1"/>
        <v>13</v>
      </c>
      <c r="C22" s="95" t="str">
        <f>+'PARTE DIC2021'!D141</f>
        <v>CPAMSLDO-ERE La Dorada</v>
      </c>
      <c r="D22" s="95" t="e">
        <f>+'PARTE DIC2021'!#REF!</f>
        <v>#REF!</v>
      </c>
      <c r="E22" s="95" t="e">
        <f>+'PARTE DIC2021'!#REF!</f>
        <v>#REF!</v>
      </c>
      <c r="F22" s="95">
        <f>+'PARTE DIC2021'!E141</f>
        <v>1524</v>
      </c>
      <c r="G22" s="95">
        <f>+'PARTE DIC2021'!F141</f>
        <v>1525</v>
      </c>
      <c r="H22" s="95">
        <f>+'PARTE DIC2021'!G141</f>
        <v>0</v>
      </c>
      <c r="I22" s="95">
        <f>+'PARTE DIC2021'!H141</f>
        <v>146</v>
      </c>
      <c r="J22" s="95">
        <f>+'PARTE DIC2021'!I141</f>
        <v>0</v>
      </c>
      <c r="K22" s="95">
        <f>+'PARTE DIC2021'!J141</f>
        <v>146</v>
      </c>
      <c r="L22" s="95">
        <f>+'PARTE DIC2021'!K141</f>
        <v>1379</v>
      </c>
      <c r="M22" s="95">
        <f>+'PARTE DIC2021'!L141</f>
        <v>0</v>
      </c>
      <c r="N22" s="95">
        <f>+'PARTE DIC2021'!M141</f>
        <v>1379</v>
      </c>
      <c r="O22" s="95">
        <f>+'PARTE DIC2021'!N141</f>
        <v>1525</v>
      </c>
      <c r="P22" s="95">
        <f>+'PARTE DIC2021'!O141</f>
        <v>1</v>
      </c>
      <c r="Q22" s="1146">
        <f>+'PARTE DIC2021'!P141</f>
        <v>6.5616797900269752E-4</v>
      </c>
      <c r="R22" s="98"/>
    </row>
    <row r="23" spans="1:18" ht="15.75" customHeight="1">
      <c r="A23" s="94" t="str">
        <f t="shared" si="0"/>
        <v>CPM</v>
      </c>
      <c r="B23" s="88">
        <f t="shared" si="1"/>
        <v>14</v>
      </c>
      <c r="C23" s="95" t="str">
        <f>+'PARTE DIC2021'!D93</f>
        <v>CPMSBUC-ERE-JP Bucaramanga</v>
      </c>
      <c r="D23" s="95" t="e">
        <f>+'PARTE DIC2021'!#REF!</f>
        <v>#REF!</v>
      </c>
      <c r="E23" s="95" t="e">
        <f>+'PARTE DIC2021'!#REF!</f>
        <v>#REF!</v>
      </c>
      <c r="F23" s="95">
        <f>+'PARTE DIC2021'!E93</f>
        <v>1520</v>
      </c>
      <c r="G23" s="95">
        <f>+'PARTE DIC2021'!F93</f>
        <v>1609</v>
      </c>
      <c r="H23" s="95">
        <f>+'PARTE DIC2021'!G93</f>
        <v>0</v>
      </c>
      <c r="I23" s="95">
        <f>+'PARTE DIC2021'!H93</f>
        <v>408</v>
      </c>
      <c r="J23" s="95">
        <f>+'PARTE DIC2021'!I93</f>
        <v>0</v>
      </c>
      <c r="K23" s="95">
        <f>+'PARTE DIC2021'!J93</f>
        <v>408</v>
      </c>
      <c r="L23" s="95">
        <f>+'PARTE DIC2021'!K93</f>
        <v>1201</v>
      </c>
      <c r="M23" s="95">
        <f>+'PARTE DIC2021'!L93</f>
        <v>0</v>
      </c>
      <c r="N23" s="95">
        <f>+'PARTE DIC2021'!M93</f>
        <v>1201</v>
      </c>
      <c r="O23" s="95">
        <f>+'PARTE DIC2021'!N93</f>
        <v>1609</v>
      </c>
      <c r="P23" s="95">
        <f>+'PARTE DIC2021'!O93</f>
        <v>89</v>
      </c>
      <c r="Q23" s="1146">
        <f>+'PARTE DIC2021'!P93</f>
        <v>5.8552631578947301E-2</v>
      </c>
      <c r="R23" s="98"/>
    </row>
    <row r="24" spans="1:18" ht="15.75" customHeight="1">
      <c r="A24" s="94" t="str">
        <f t="shared" si="0"/>
        <v>EPM</v>
      </c>
      <c r="B24" s="88">
        <f t="shared" si="1"/>
        <v>15</v>
      </c>
      <c r="C24" s="95" t="str">
        <f>+'PARTE DIC2021'!D76</f>
        <v>EPMSCCAR Cartagena</v>
      </c>
      <c r="D24" s="95" t="e">
        <f>+'PARTE DIC2021'!#REF!</f>
        <v>#REF!</v>
      </c>
      <c r="E24" s="95" t="e">
        <f>+'PARTE DIC2021'!#REF!</f>
        <v>#REF!</v>
      </c>
      <c r="F24" s="95">
        <f>+'PARTE DIC2021'!E76</f>
        <v>1464</v>
      </c>
      <c r="G24" s="95">
        <f>+'PARTE DIC2021'!F76</f>
        <v>1796</v>
      </c>
      <c r="H24" s="95">
        <f>+'PARTE DIC2021'!G76</f>
        <v>2</v>
      </c>
      <c r="I24" s="95">
        <f>+'PARTE DIC2021'!H76</f>
        <v>1048</v>
      </c>
      <c r="J24" s="95">
        <f>+'PARTE DIC2021'!I76</f>
        <v>0</v>
      </c>
      <c r="K24" s="95">
        <f>+'PARTE DIC2021'!J76</f>
        <v>1048</v>
      </c>
      <c r="L24" s="95">
        <f>+'PARTE DIC2021'!K76</f>
        <v>748</v>
      </c>
      <c r="M24" s="95">
        <f>+'PARTE DIC2021'!L76</f>
        <v>2</v>
      </c>
      <c r="N24" s="95">
        <f>+'PARTE DIC2021'!M76</f>
        <v>750</v>
      </c>
      <c r="O24" s="95">
        <f>+'PARTE DIC2021'!N76</f>
        <v>1798</v>
      </c>
      <c r="P24" s="95">
        <f>+'PARTE DIC2021'!O76</f>
        <v>334</v>
      </c>
      <c r="Q24" s="1146">
        <f>+'PARTE DIC2021'!P76</f>
        <v>0.22814207650273222</v>
      </c>
      <c r="R24" s="98"/>
    </row>
    <row r="25" spans="1:18" ht="15.75" customHeight="1">
      <c r="A25" s="94" t="str">
        <f t="shared" si="0"/>
        <v>CPA</v>
      </c>
      <c r="B25" s="88">
        <f t="shared" si="1"/>
        <v>16</v>
      </c>
      <c r="C25" s="95" t="str">
        <f>+'PARTE DIC2021'!D87</f>
        <v>CPAMSVAL Valledupar</v>
      </c>
      <c r="D25" s="95" t="e">
        <f>+'PARTE DIC2021'!#REF!</f>
        <v>#REF!</v>
      </c>
      <c r="E25" s="95" t="e">
        <f>+'PARTE DIC2021'!#REF!</f>
        <v>#REF!</v>
      </c>
      <c r="F25" s="95">
        <f>+'PARTE DIC2021'!E87</f>
        <v>1452</v>
      </c>
      <c r="G25" s="95">
        <f>+'PARTE DIC2021'!F87</f>
        <v>1596</v>
      </c>
      <c r="H25" s="95">
        <f>+'PARTE DIC2021'!G87</f>
        <v>0</v>
      </c>
      <c r="I25" s="95">
        <f>+'PARTE DIC2021'!H87</f>
        <v>426</v>
      </c>
      <c r="J25" s="95">
        <f>+'PARTE DIC2021'!I87</f>
        <v>0</v>
      </c>
      <c r="K25" s="95">
        <f>+'PARTE DIC2021'!J87</f>
        <v>426</v>
      </c>
      <c r="L25" s="95">
        <f>+'PARTE DIC2021'!K87</f>
        <v>1170</v>
      </c>
      <c r="M25" s="95">
        <f>+'PARTE DIC2021'!L87</f>
        <v>0</v>
      </c>
      <c r="N25" s="95">
        <f>+'PARTE DIC2021'!M87</f>
        <v>1170</v>
      </c>
      <c r="O25" s="95">
        <f>+'PARTE DIC2021'!N87</f>
        <v>1596</v>
      </c>
      <c r="P25" s="95">
        <f>+'PARTE DIC2021'!O87</f>
        <v>144</v>
      </c>
      <c r="Q25" s="1146">
        <f>+'PARTE DIC2021'!P87</f>
        <v>9.9173553719008156E-2</v>
      </c>
      <c r="R25" s="98"/>
    </row>
    <row r="26" spans="1:18" ht="15.75" customHeight="1">
      <c r="A26" s="94" t="str">
        <f t="shared" si="0"/>
        <v>PMS</v>
      </c>
      <c r="B26" s="88">
        <f t="shared" si="1"/>
        <v>17</v>
      </c>
      <c r="C26" s="95" t="str">
        <f>+'PARTE DIC2021'!D49</f>
        <v xml:space="preserve">PMSHELIC Las Heliconias </v>
      </c>
      <c r="D26" s="95" t="e">
        <f>+'PARTE DIC2021'!#REF!</f>
        <v>#REF!</v>
      </c>
      <c r="E26" s="95" t="e">
        <f>+'PARTE DIC2021'!#REF!</f>
        <v>#REF!</v>
      </c>
      <c r="F26" s="95">
        <f>+'PARTE DIC2021'!E49</f>
        <v>1388</v>
      </c>
      <c r="G26" s="95">
        <f>+'PARTE DIC2021'!F49</f>
        <v>1311</v>
      </c>
      <c r="H26" s="95">
        <f>+'PARTE DIC2021'!G49</f>
        <v>0</v>
      </c>
      <c r="I26" s="95">
        <f>+'PARTE DIC2021'!H49</f>
        <v>0</v>
      </c>
      <c r="J26" s="95">
        <f>+'PARTE DIC2021'!I49</f>
        <v>0</v>
      </c>
      <c r="K26" s="95">
        <f>+'PARTE DIC2021'!J49</f>
        <v>0</v>
      </c>
      <c r="L26" s="95">
        <f>+'PARTE DIC2021'!K49</f>
        <v>1311</v>
      </c>
      <c r="M26" s="95">
        <f>+'PARTE DIC2021'!L49</f>
        <v>0</v>
      </c>
      <c r="N26" s="95">
        <f>+'PARTE DIC2021'!M49</f>
        <v>1311</v>
      </c>
      <c r="O26" s="95">
        <f>+'PARTE DIC2021'!N49</f>
        <v>1311</v>
      </c>
      <c r="P26" s="95">
        <f>+'PARTE DIC2021'!O49</f>
        <v>-77</v>
      </c>
      <c r="Q26" s="1146">
        <f>+'PARTE DIC2021'!P49</f>
        <v>-5.54755043227666E-2</v>
      </c>
      <c r="R26" s="98"/>
    </row>
    <row r="27" spans="1:18" ht="15.75" customHeight="1">
      <c r="A27" s="94" t="str">
        <f t="shared" si="0"/>
        <v>CPM</v>
      </c>
      <c r="B27" s="88">
        <f t="shared" si="1"/>
        <v>18</v>
      </c>
      <c r="C27" s="95" t="str">
        <f>+'PARTE DIC2021'!D104</f>
        <v>CPMSBEL Bello</v>
      </c>
      <c r="D27" s="95" t="e">
        <f>+'PARTE DIC2021'!#REF!</f>
        <v>#REF!</v>
      </c>
      <c r="E27" s="95" t="e">
        <f>+'PARTE DIC2021'!#REF!</f>
        <v>#REF!</v>
      </c>
      <c r="F27" s="95">
        <f>+'PARTE DIC2021'!E104</f>
        <v>1368</v>
      </c>
      <c r="G27" s="95">
        <f>+'PARTE DIC2021'!F104</f>
        <v>2509</v>
      </c>
      <c r="H27" s="95">
        <f>+'PARTE DIC2021'!G104</f>
        <v>0</v>
      </c>
      <c r="I27" s="95">
        <f>+'PARTE DIC2021'!H104</f>
        <v>219</v>
      </c>
      <c r="J27" s="95">
        <f>+'PARTE DIC2021'!I104</f>
        <v>0</v>
      </c>
      <c r="K27" s="95">
        <f>+'PARTE DIC2021'!J104</f>
        <v>219</v>
      </c>
      <c r="L27" s="95">
        <f>+'PARTE DIC2021'!K104</f>
        <v>2290</v>
      </c>
      <c r="M27" s="95">
        <f>+'PARTE DIC2021'!L104</f>
        <v>0</v>
      </c>
      <c r="N27" s="95">
        <f>+'PARTE DIC2021'!M104</f>
        <v>2290</v>
      </c>
      <c r="O27" s="95">
        <f>+'PARTE DIC2021'!N104</f>
        <v>2509</v>
      </c>
      <c r="P27" s="95">
        <f>+'PARTE DIC2021'!O104</f>
        <v>1141</v>
      </c>
      <c r="Q27" s="1146">
        <f>+'PARTE DIC2021'!P104</f>
        <v>0.83406432748538006</v>
      </c>
      <c r="R27" s="98"/>
    </row>
    <row r="28" spans="1:18" ht="15.75" customHeight="1">
      <c r="A28" s="94" t="str">
        <f t="shared" si="0"/>
        <v>CPM</v>
      </c>
      <c r="B28" s="88">
        <f t="shared" si="1"/>
        <v>19</v>
      </c>
      <c r="C28" s="95" t="str">
        <f>+'PARTE DIC2021'!D120</f>
        <v>CPMSPTR Puerto Triunfo</v>
      </c>
      <c r="D28" s="95" t="e">
        <f>+'PARTE DIC2021'!#REF!</f>
        <v>#REF!</v>
      </c>
      <c r="E28" s="95" t="e">
        <f>+'PARTE DIC2021'!#REF!</f>
        <v>#REF!</v>
      </c>
      <c r="F28" s="95">
        <f>+'PARTE DIC2021'!E120</f>
        <v>1316</v>
      </c>
      <c r="G28" s="95">
        <f>+'PARTE DIC2021'!F120</f>
        <v>1500</v>
      </c>
      <c r="H28" s="95">
        <f>+'PARTE DIC2021'!G120</f>
        <v>0</v>
      </c>
      <c r="I28" s="95">
        <f>+'PARTE DIC2021'!H120</f>
        <v>153</v>
      </c>
      <c r="J28" s="95">
        <f>+'PARTE DIC2021'!I120</f>
        <v>0</v>
      </c>
      <c r="K28" s="95">
        <f>+'PARTE DIC2021'!J120</f>
        <v>153</v>
      </c>
      <c r="L28" s="95">
        <f>+'PARTE DIC2021'!K120</f>
        <v>1347</v>
      </c>
      <c r="M28" s="95">
        <f>+'PARTE DIC2021'!L120</f>
        <v>0</v>
      </c>
      <c r="N28" s="95">
        <f>+'PARTE DIC2021'!M120</f>
        <v>1347</v>
      </c>
      <c r="O28" s="95">
        <f>+'PARTE DIC2021'!N120</f>
        <v>1500</v>
      </c>
      <c r="P28" s="95">
        <f>+'PARTE DIC2021'!O120</f>
        <v>184</v>
      </c>
      <c r="Q28" s="1146">
        <f>+'PARTE DIC2021'!P120</f>
        <v>0.13981762917933138</v>
      </c>
      <c r="R28" s="98"/>
    </row>
    <row r="29" spans="1:18" ht="15.75" customHeight="1">
      <c r="A29" s="94" t="str">
        <f t="shared" si="0"/>
        <v>CPA</v>
      </c>
      <c r="B29" s="88">
        <f t="shared" si="1"/>
        <v>20</v>
      </c>
      <c r="C29" s="95" t="str">
        <f>+'PARTE DIC2021'!D63</f>
        <v>CPAMSPAL Palmira</v>
      </c>
      <c r="D29" s="95" t="e">
        <f>+'PARTE DIC2021'!#REF!</f>
        <v>#REF!</v>
      </c>
      <c r="E29" s="95" t="e">
        <f>+'PARTE DIC2021'!#REF!</f>
        <v>#REF!</v>
      </c>
      <c r="F29" s="95">
        <f>+'PARTE DIC2021'!E63</f>
        <v>1257</v>
      </c>
      <c r="G29" s="95">
        <f>+'PARTE DIC2021'!F63</f>
        <v>2098</v>
      </c>
      <c r="H29" s="95">
        <f>+'PARTE DIC2021'!G63</f>
        <v>0</v>
      </c>
      <c r="I29" s="95">
        <f>+'PARTE DIC2021'!H63</f>
        <v>539</v>
      </c>
      <c r="J29" s="95">
        <f>+'PARTE DIC2021'!I63</f>
        <v>0</v>
      </c>
      <c r="K29" s="95">
        <f>+'PARTE DIC2021'!J63</f>
        <v>539</v>
      </c>
      <c r="L29" s="95">
        <f>+'PARTE DIC2021'!K63</f>
        <v>1559</v>
      </c>
      <c r="M29" s="95">
        <f>+'PARTE DIC2021'!L63</f>
        <v>0</v>
      </c>
      <c r="N29" s="95">
        <f>+'PARTE DIC2021'!M63</f>
        <v>1559</v>
      </c>
      <c r="O29" s="95">
        <f>+'PARTE DIC2021'!N63</f>
        <v>2098</v>
      </c>
      <c r="P29" s="95">
        <f>+'PARTE DIC2021'!O63</f>
        <v>841</v>
      </c>
      <c r="Q29" s="1146">
        <f>+'PARTE DIC2021'!P63</f>
        <v>0.66905330151153541</v>
      </c>
      <c r="R29" s="98"/>
    </row>
    <row r="30" spans="1:18" ht="15.75" customHeight="1">
      <c r="A30" s="94" t="str">
        <f t="shared" si="0"/>
        <v>CPA</v>
      </c>
      <c r="B30" s="88">
        <f t="shared" si="1"/>
        <v>21</v>
      </c>
      <c r="C30" s="95" t="str">
        <f>+'PARTE DIC2021'!D29</f>
        <v>CPAMSMBOG-ERE Bogotá</v>
      </c>
      <c r="D30" s="95" t="e">
        <f>+'PARTE DIC2021'!#REF!</f>
        <v>#REF!</v>
      </c>
      <c r="E30" s="95" t="e">
        <f>+'PARTE DIC2021'!#REF!</f>
        <v>#REF!</v>
      </c>
      <c r="F30" s="95">
        <f>+'PARTE DIC2021'!E29</f>
        <v>1246</v>
      </c>
      <c r="G30" s="95">
        <f>+'PARTE DIC2021'!F29</f>
        <v>0</v>
      </c>
      <c r="H30" s="95">
        <f>+'PARTE DIC2021'!G29</f>
        <v>1784</v>
      </c>
      <c r="I30" s="95">
        <f>+'PARTE DIC2021'!H29</f>
        <v>0</v>
      </c>
      <c r="J30" s="95">
        <f>+'PARTE DIC2021'!I29</f>
        <v>708</v>
      </c>
      <c r="K30" s="95">
        <f>+'PARTE DIC2021'!J29</f>
        <v>708</v>
      </c>
      <c r="L30" s="95">
        <f>+'PARTE DIC2021'!K29</f>
        <v>0</v>
      </c>
      <c r="M30" s="95">
        <f>+'PARTE DIC2021'!L29</f>
        <v>1076</v>
      </c>
      <c r="N30" s="95">
        <f>+'PARTE DIC2021'!M29</f>
        <v>1076</v>
      </c>
      <c r="O30" s="95">
        <f>+'PARTE DIC2021'!N29</f>
        <v>1784</v>
      </c>
      <c r="P30" s="95">
        <f>+'PARTE DIC2021'!O29</f>
        <v>538</v>
      </c>
      <c r="Q30" s="1146">
        <f>+'PARTE DIC2021'!P29</f>
        <v>0.4317817014446228</v>
      </c>
      <c r="R30" s="98"/>
    </row>
    <row r="31" spans="1:18" ht="15.75" customHeight="1">
      <c r="A31" s="94" t="str">
        <f t="shared" si="0"/>
        <v>CPM</v>
      </c>
      <c r="B31" s="88">
        <f t="shared" si="1"/>
        <v>22</v>
      </c>
      <c r="C31" s="95" t="str">
        <f>+'PARTE DIC2021'!D41</f>
        <v>CPMSESP Espinal</v>
      </c>
      <c r="D31" s="95" t="e">
        <f>+'PARTE DIC2021'!#REF!</f>
        <v>#REF!</v>
      </c>
      <c r="E31" s="95" t="e">
        <f>+'PARTE DIC2021'!#REF!</f>
        <v>#REF!</v>
      </c>
      <c r="F31" s="95">
        <f>+'PARTE DIC2021'!E41</f>
        <v>1118</v>
      </c>
      <c r="G31" s="95">
        <f>+'PARTE DIC2021'!F41</f>
        <v>1047</v>
      </c>
      <c r="H31" s="95">
        <f>+'PARTE DIC2021'!G41</f>
        <v>0</v>
      </c>
      <c r="I31" s="95">
        <f>+'PARTE DIC2021'!H41</f>
        <v>45</v>
      </c>
      <c r="J31" s="95">
        <f>+'PARTE DIC2021'!I41</f>
        <v>0</v>
      </c>
      <c r="K31" s="95">
        <f>+'PARTE DIC2021'!J41</f>
        <v>45</v>
      </c>
      <c r="L31" s="95">
        <f>+'PARTE DIC2021'!K41</f>
        <v>1002</v>
      </c>
      <c r="M31" s="95">
        <f>+'PARTE DIC2021'!L41</f>
        <v>0</v>
      </c>
      <c r="N31" s="95">
        <f>+'PARTE DIC2021'!M41</f>
        <v>1002</v>
      </c>
      <c r="O31" s="95">
        <f>+'PARTE DIC2021'!N41</f>
        <v>1047</v>
      </c>
      <c r="P31" s="95">
        <f>+'PARTE DIC2021'!O41</f>
        <v>-71</v>
      </c>
      <c r="Q31" s="1146">
        <f>+'PARTE DIC2021'!P41</f>
        <v>-6.3506261180679813E-2</v>
      </c>
      <c r="R31" s="98"/>
    </row>
    <row r="32" spans="1:18" ht="15.75" customHeight="1">
      <c r="A32" s="94" t="str">
        <f t="shared" si="0"/>
        <v>CAM</v>
      </c>
      <c r="B32" s="88">
        <f t="shared" si="1"/>
        <v>23</v>
      </c>
      <c r="C32" s="95" t="str">
        <f>+'PARTE DIC2021'!D30</f>
        <v>CAMISACS Acacias</v>
      </c>
      <c r="D32" s="95" t="e">
        <f>+'PARTE DIC2021'!#REF!</f>
        <v>#REF!</v>
      </c>
      <c r="E32" s="95" t="e">
        <f>+'PARTE DIC2021'!#REF!</f>
        <v>#REF!</v>
      </c>
      <c r="F32" s="95">
        <f>+'PARTE DIC2021'!E30</f>
        <v>1098</v>
      </c>
      <c r="G32" s="95">
        <f>+'PARTE DIC2021'!F30</f>
        <v>890</v>
      </c>
      <c r="H32" s="95">
        <f>+'PARTE DIC2021'!G30</f>
        <v>0</v>
      </c>
      <c r="I32" s="95">
        <f>+'PARTE DIC2021'!H30</f>
        <v>13</v>
      </c>
      <c r="J32" s="95">
        <f>+'PARTE DIC2021'!I30</f>
        <v>0</v>
      </c>
      <c r="K32" s="95">
        <f>+'PARTE DIC2021'!J30</f>
        <v>13</v>
      </c>
      <c r="L32" s="95">
        <f>+'PARTE DIC2021'!K30</f>
        <v>877</v>
      </c>
      <c r="M32" s="95">
        <f>+'PARTE DIC2021'!L30</f>
        <v>0</v>
      </c>
      <c r="N32" s="95">
        <f>+'PARTE DIC2021'!M30</f>
        <v>877</v>
      </c>
      <c r="O32" s="95">
        <f>+'PARTE DIC2021'!N30</f>
        <v>890</v>
      </c>
      <c r="P32" s="95">
        <f>+'PARTE DIC2021'!O30</f>
        <v>-208</v>
      </c>
      <c r="Q32" s="1146">
        <f>+'PARTE DIC2021'!P30</f>
        <v>-0.18943533697632053</v>
      </c>
      <c r="R32" s="98"/>
    </row>
    <row r="33" spans="1:18" ht="15.75" customHeight="1">
      <c r="A33" s="94" t="str">
        <f t="shared" si="0"/>
        <v>CPM</v>
      </c>
      <c r="B33" s="88">
        <f t="shared" si="1"/>
        <v>24</v>
      </c>
      <c r="C33" s="95" t="str">
        <f>+'PARTE DIC2021'!D67</f>
        <v>CPMSTUL Tuluá</v>
      </c>
      <c r="D33" s="95" t="e">
        <f>+'PARTE DIC2021'!#REF!</f>
        <v>#REF!</v>
      </c>
      <c r="E33" s="95" t="e">
        <f>+'PARTE DIC2021'!#REF!</f>
        <v>#REF!</v>
      </c>
      <c r="F33" s="95">
        <f>+'PARTE DIC2021'!E67</f>
        <v>1078</v>
      </c>
      <c r="G33" s="95">
        <f>+'PARTE DIC2021'!F67</f>
        <v>1229</v>
      </c>
      <c r="H33" s="95">
        <f>+'PARTE DIC2021'!G67</f>
        <v>0</v>
      </c>
      <c r="I33" s="95">
        <f>+'PARTE DIC2021'!H67</f>
        <v>521</v>
      </c>
      <c r="J33" s="95">
        <f>+'PARTE DIC2021'!I67</f>
        <v>0</v>
      </c>
      <c r="K33" s="95">
        <f>+'PARTE DIC2021'!J67</f>
        <v>521</v>
      </c>
      <c r="L33" s="95">
        <f>+'PARTE DIC2021'!K67</f>
        <v>708</v>
      </c>
      <c r="M33" s="95">
        <f>+'PARTE DIC2021'!L67</f>
        <v>0</v>
      </c>
      <c r="N33" s="95">
        <f>+'PARTE DIC2021'!M67</f>
        <v>708</v>
      </c>
      <c r="O33" s="95">
        <f>+'PARTE DIC2021'!N67</f>
        <v>1229</v>
      </c>
      <c r="P33" s="95">
        <f>+'PARTE DIC2021'!O67</f>
        <v>151</v>
      </c>
      <c r="Q33" s="1146">
        <f>+'PARTE DIC2021'!P67</f>
        <v>0.14007421150278287</v>
      </c>
      <c r="R33" s="98"/>
    </row>
    <row r="34" spans="1:18" ht="15.75" customHeight="1">
      <c r="A34" s="94" t="str">
        <f t="shared" si="0"/>
        <v>EPM</v>
      </c>
      <c r="B34" s="88">
        <f t="shared" si="1"/>
        <v>25</v>
      </c>
      <c r="C34" s="95" t="str">
        <f>+'PARTE DIC2021'!D35</f>
        <v>EPMSCNEI Neiva</v>
      </c>
      <c r="D34" s="95" t="e">
        <f>+'PARTE DIC2021'!#REF!</f>
        <v>#REF!</v>
      </c>
      <c r="E34" s="95" t="e">
        <f>+'PARTE DIC2021'!#REF!</f>
        <v>#REF!</v>
      </c>
      <c r="F34" s="95">
        <f>+'PARTE DIC2021'!E35</f>
        <v>984</v>
      </c>
      <c r="G34" s="95">
        <f>+'PARTE DIC2021'!F35</f>
        <v>1330</v>
      </c>
      <c r="H34" s="95">
        <f>+'PARTE DIC2021'!G35</f>
        <v>117</v>
      </c>
      <c r="I34" s="95">
        <f>+'PARTE DIC2021'!H35</f>
        <v>413</v>
      </c>
      <c r="J34" s="95">
        <f>+'PARTE DIC2021'!I35</f>
        <v>44</v>
      </c>
      <c r="K34" s="95">
        <f>+'PARTE DIC2021'!J35</f>
        <v>457</v>
      </c>
      <c r="L34" s="95">
        <f>+'PARTE DIC2021'!K35</f>
        <v>917</v>
      </c>
      <c r="M34" s="95">
        <f>+'PARTE DIC2021'!L35</f>
        <v>73</v>
      </c>
      <c r="N34" s="95">
        <f>+'PARTE DIC2021'!M35</f>
        <v>990</v>
      </c>
      <c r="O34" s="95">
        <f>+'PARTE DIC2021'!N35</f>
        <v>1447</v>
      </c>
      <c r="P34" s="95">
        <f>+'PARTE DIC2021'!O35</f>
        <v>463</v>
      </c>
      <c r="Q34" s="1146">
        <f>+'PARTE DIC2021'!P35</f>
        <v>0.47052845528455278</v>
      </c>
      <c r="R34" s="98"/>
    </row>
    <row r="35" spans="1:18" ht="15.75" customHeight="1">
      <c r="A35" s="94" t="str">
        <f t="shared" si="0"/>
        <v>EPM</v>
      </c>
      <c r="B35" s="88">
        <f t="shared" si="1"/>
        <v>26</v>
      </c>
      <c r="C35" s="95" t="str">
        <f>+'PARTE DIC2021'!D130</f>
        <v>EPMSCCAL Calarcá</v>
      </c>
      <c r="D35" s="95" t="e">
        <f>+'PARTE DIC2021'!#REF!</f>
        <v>#REF!</v>
      </c>
      <c r="E35" s="95" t="e">
        <f>+'PARTE DIC2021'!#REF!</f>
        <v>#REF!</v>
      </c>
      <c r="F35" s="95">
        <f>+'PARTE DIC2021'!E130</f>
        <v>950</v>
      </c>
      <c r="G35" s="95">
        <f>+'PARTE DIC2021'!F130</f>
        <v>906</v>
      </c>
      <c r="H35" s="95">
        <f>+'PARTE DIC2021'!G130</f>
        <v>0</v>
      </c>
      <c r="I35" s="95">
        <f>+'PARTE DIC2021'!H130</f>
        <v>23</v>
      </c>
      <c r="J35" s="95">
        <f>+'PARTE DIC2021'!I130</f>
        <v>0</v>
      </c>
      <c r="K35" s="95">
        <f>+'PARTE DIC2021'!J130</f>
        <v>23</v>
      </c>
      <c r="L35" s="95">
        <f>+'PARTE DIC2021'!K130</f>
        <v>883</v>
      </c>
      <c r="M35" s="95">
        <f>+'PARTE DIC2021'!L130</f>
        <v>0</v>
      </c>
      <c r="N35" s="95">
        <f>+'PARTE DIC2021'!M130</f>
        <v>883</v>
      </c>
      <c r="O35" s="95">
        <f>+'PARTE DIC2021'!N130</f>
        <v>906</v>
      </c>
      <c r="P35" s="95">
        <f>+'PARTE DIC2021'!O130</f>
        <v>-44</v>
      </c>
      <c r="Q35" s="1146">
        <f>+'PARTE DIC2021'!P130</f>
        <v>-4.6315789473684199E-2</v>
      </c>
      <c r="R35" s="98"/>
    </row>
    <row r="36" spans="1:18" ht="15.75" customHeight="1">
      <c r="A36" s="94" t="str">
        <f t="shared" si="0"/>
        <v>EPC</v>
      </c>
      <c r="B36" s="88">
        <f t="shared" si="1"/>
        <v>27</v>
      </c>
      <c r="C36" s="95" t="str">
        <f>+'PARTE DIC2021'!D47</f>
        <v>EPCYOP Yopal</v>
      </c>
      <c r="D36" s="95" t="e">
        <f>+'PARTE DIC2021'!#REF!</f>
        <v>#REF!</v>
      </c>
      <c r="E36" s="95" t="e">
        <f>+'PARTE DIC2021'!#REF!</f>
        <v>#REF!</v>
      </c>
      <c r="F36" s="95">
        <f>+'PARTE DIC2021'!E47</f>
        <v>918</v>
      </c>
      <c r="G36" s="95">
        <f>+'PARTE DIC2021'!F47</f>
        <v>874</v>
      </c>
      <c r="H36" s="95">
        <f>+'PARTE DIC2021'!G47</f>
        <v>0</v>
      </c>
      <c r="I36" s="95">
        <f>+'PARTE DIC2021'!H47</f>
        <v>115</v>
      </c>
      <c r="J36" s="95">
        <f>+'PARTE DIC2021'!I47</f>
        <v>0</v>
      </c>
      <c r="K36" s="95">
        <f>+'PARTE DIC2021'!J47</f>
        <v>115</v>
      </c>
      <c r="L36" s="95">
        <f>+'PARTE DIC2021'!K47</f>
        <v>759</v>
      </c>
      <c r="M36" s="95">
        <f>+'PARTE DIC2021'!L47</f>
        <v>0</v>
      </c>
      <c r="N36" s="95">
        <f>+'PARTE DIC2021'!M47</f>
        <v>759</v>
      </c>
      <c r="O36" s="95">
        <f>+'PARTE DIC2021'!N47</f>
        <v>874</v>
      </c>
      <c r="P36" s="95">
        <f>+'PARTE DIC2021'!O47</f>
        <v>-44</v>
      </c>
      <c r="Q36" s="1146">
        <f>+'PARTE DIC2021'!P47</f>
        <v>-4.7930283224400849E-2</v>
      </c>
      <c r="R36" s="98"/>
    </row>
    <row r="37" spans="1:18" ht="15.75" customHeight="1">
      <c r="A37" s="94" t="str">
        <f t="shared" si="0"/>
        <v>EPM</v>
      </c>
      <c r="B37" s="88">
        <f t="shared" si="1"/>
        <v>28</v>
      </c>
      <c r="C37" s="95" t="str">
        <f>+'PARTE DIC2021'!D31</f>
        <v>EPMSCVILLV Villavicencio</v>
      </c>
      <c r="D37" s="95" t="e">
        <f>+'PARTE DIC2021'!#REF!</f>
        <v>#REF!</v>
      </c>
      <c r="E37" s="95" t="e">
        <f>+'PARTE DIC2021'!#REF!</f>
        <v>#REF!</v>
      </c>
      <c r="F37" s="95">
        <f>+'PARTE DIC2021'!E31</f>
        <v>899</v>
      </c>
      <c r="G37" s="95">
        <f>+'PARTE DIC2021'!F31</f>
        <v>1342</v>
      </c>
      <c r="H37" s="95">
        <f>+'PARTE DIC2021'!G31</f>
        <v>0</v>
      </c>
      <c r="I37" s="95">
        <f>+'PARTE DIC2021'!H31</f>
        <v>738</v>
      </c>
      <c r="J37" s="95">
        <f>+'PARTE DIC2021'!I31</f>
        <v>0</v>
      </c>
      <c r="K37" s="95">
        <f>+'PARTE DIC2021'!J31</f>
        <v>738</v>
      </c>
      <c r="L37" s="95">
        <f>+'PARTE DIC2021'!K31</f>
        <v>604</v>
      </c>
      <c r="M37" s="95">
        <f>+'PARTE DIC2021'!L31</f>
        <v>0</v>
      </c>
      <c r="N37" s="95">
        <f>+'PARTE DIC2021'!M31</f>
        <v>604</v>
      </c>
      <c r="O37" s="95">
        <f>+'PARTE DIC2021'!N31</f>
        <v>1342</v>
      </c>
      <c r="P37" s="95">
        <f>+'PARTE DIC2021'!O31</f>
        <v>443</v>
      </c>
      <c r="Q37" s="1146">
        <f>+'PARTE DIC2021'!P31</f>
        <v>0.49276974416017794</v>
      </c>
      <c r="R37" s="98"/>
    </row>
    <row r="38" spans="1:18" ht="15.75" customHeight="1">
      <c r="A38" s="94" t="str">
        <f t="shared" si="0"/>
        <v>EPM</v>
      </c>
      <c r="B38" s="88">
        <f t="shared" si="1"/>
        <v>29</v>
      </c>
      <c r="C38" s="95" t="str">
        <f>+'PARTE DIC2021'!D34</f>
        <v>EPMSCGIR Girardot</v>
      </c>
      <c r="D38" s="95" t="e">
        <f>+'PARTE DIC2021'!#REF!</f>
        <v>#REF!</v>
      </c>
      <c r="E38" s="95" t="e">
        <f>+'PARTE DIC2021'!#REF!</f>
        <v>#REF!</v>
      </c>
      <c r="F38" s="95">
        <f>+'PARTE DIC2021'!E34</f>
        <v>899</v>
      </c>
      <c r="G38" s="95">
        <f>+'PARTE DIC2021'!F34</f>
        <v>892</v>
      </c>
      <c r="H38" s="95">
        <f>+'PARTE DIC2021'!G34</f>
        <v>0</v>
      </c>
      <c r="I38" s="95">
        <f>+'PARTE DIC2021'!H34</f>
        <v>272</v>
      </c>
      <c r="J38" s="95">
        <f>+'PARTE DIC2021'!I34</f>
        <v>0</v>
      </c>
      <c r="K38" s="95">
        <f>+'PARTE DIC2021'!J34</f>
        <v>272</v>
      </c>
      <c r="L38" s="95">
        <f>+'PARTE DIC2021'!K34</f>
        <v>620</v>
      </c>
      <c r="M38" s="95">
        <f>+'PARTE DIC2021'!L34</f>
        <v>0</v>
      </c>
      <c r="N38" s="95">
        <f>+'PARTE DIC2021'!M34</f>
        <v>620</v>
      </c>
      <c r="O38" s="95">
        <f>+'PARTE DIC2021'!N34</f>
        <v>892</v>
      </c>
      <c r="P38" s="95">
        <f>+'PARTE DIC2021'!O34</f>
        <v>-7</v>
      </c>
      <c r="Q38" s="1146">
        <f>+'PARTE DIC2021'!P34</f>
        <v>-7.7864293659621886E-3</v>
      </c>
      <c r="R38" s="98"/>
    </row>
    <row r="39" spans="1:18" ht="15.75" customHeight="1">
      <c r="A39" s="94" t="str">
        <f t="shared" si="0"/>
        <v>CPM</v>
      </c>
      <c r="B39" s="88">
        <f t="shared" si="1"/>
        <v>30</v>
      </c>
      <c r="C39" s="95" t="str">
        <f>+'PARTE DIC2021'!D59</f>
        <v>CPMSIPI-RM Ipiales</v>
      </c>
      <c r="D39" s="95" t="e">
        <f>+'PARTE DIC2021'!#REF!</f>
        <v>#REF!</v>
      </c>
      <c r="E39" s="95" t="e">
        <f>+'PARTE DIC2021'!#REF!</f>
        <v>#REF!</v>
      </c>
      <c r="F39" s="95">
        <f>+'PARTE DIC2021'!E59</f>
        <v>888</v>
      </c>
      <c r="G39" s="95">
        <f>+'PARTE DIC2021'!F59</f>
        <v>421</v>
      </c>
      <c r="H39" s="95">
        <f>+'PARTE DIC2021'!G59</f>
        <v>0</v>
      </c>
      <c r="I39" s="95">
        <f>+'PARTE DIC2021'!H59</f>
        <v>223</v>
      </c>
      <c r="J39" s="95">
        <f>+'PARTE DIC2021'!I59</f>
        <v>0</v>
      </c>
      <c r="K39" s="95">
        <f>+'PARTE DIC2021'!J59</f>
        <v>223</v>
      </c>
      <c r="L39" s="95">
        <f>+'PARTE DIC2021'!K59</f>
        <v>198</v>
      </c>
      <c r="M39" s="95">
        <f>+'PARTE DIC2021'!L59</f>
        <v>0</v>
      </c>
      <c r="N39" s="95">
        <f>+'PARTE DIC2021'!M59</f>
        <v>198</v>
      </c>
      <c r="O39" s="95">
        <f>+'PARTE DIC2021'!N59</f>
        <v>421</v>
      </c>
      <c r="P39" s="95">
        <f>+'PARTE DIC2021'!O59</f>
        <v>-467</v>
      </c>
      <c r="Q39" s="1146">
        <f>+'PARTE DIC2021'!P59</f>
        <v>-0.52590090090090091</v>
      </c>
      <c r="R39" s="98"/>
    </row>
    <row r="40" spans="1:18" ht="15.75" customHeight="1">
      <c r="A40" s="94" t="str">
        <f t="shared" si="0"/>
        <v>EPM</v>
      </c>
      <c r="B40" s="88">
        <f t="shared" si="1"/>
        <v>31</v>
      </c>
      <c r="C40" s="95" t="str">
        <f>+'PARTE DIC2021'!D79</f>
        <v>EPMSCMON Montería</v>
      </c>
      <c r="D40" s="95" t="e">
        <f>+'PARTE DIC2021'!#REF!</f>
        <v>#REF!</v>
      </c>
      <c r="E40" s="95" t="e">
        <f>+'PARTE DIC2021'!#REF!</f>
        <v>#REF!</v>
      </c>
      <c r="F40" s="95">
        <f>+'PARTE DIC2021'!E79</f>
        <v>840</v>
      </c>
      <c r="G40" s="95">
        <f>+'PARTE DIC2021'!F79</f>
        <v>888</v>
      </c>
      <c r="H40" s="95">
        <f>+'PARTE DIC2021'!G79</f>
        <v>85</v>
      </c>
      <c r="I40" s="95">
        <f>+'PARTE DIC2021'!H79</f>
        <v>301</v>
      </c>
      <c r="J40" s="95">
        <f>+'PARTE DIC2021'!I79</f>
        <v>31</v>
      </c>
      <c r="K40" s="95">
        <f>+'PARTE DIC2021'!J79</f>
        <v>332</v>
      </c>
      <c r="L40" s="95">
        <f>+'PARTE DIC2021'!K79</f>
        <v>587</v>
      </c>
      <c r="M40" s="95">
        <f>+'PARTE DIC2021'!L79</f>
        <v>54</v>
      </c>
      <c r="N40" s="95">
        <f>+'PARTE DIC2021'!M79</f>
        <v>641</v>
      </c>
      <c r="O40" s="95">
        <f>+'PARTE DIC2021'!N79</f>
        <v>973</v>
      </c>
      <c r="P40" s="95">
        <f>+'PARTE DIC2021'!O79</f>
        <v>133</v>
      </c>
      <c r="Q40" s="1146">
        <f>+'PARTE DIC2021'!P79</f>
        <v>0.15833333333333344</v>
      </c>
      <c r="R40" s="98"/>
    </row>
    <row r="41" spans="1:18" ht="15.75" customHeight="1">
      <c r="A41" s="94" t="str">
        <f t="shared" si="0"/>
        <v>EPM</v>
      </c>
      <c r="B41" s="88">
        <f t="shared" si="1"/>
        <v>32</v>
      </c>
      <c r="C41" s="95" t="str">
        <f>+'PARTE DIC2021'!D65</f>
        <v>EPMSCBUG Buga</v>
      </c>
      <c r="D41" s="95" t="e">
        <f>+'PARTE DIC2021'!#REF!</f>
        <v>#REF!</v>
      </c>
      <c r="E41" s="95" t="e">
        <f>+'PARTE DIC2021'!#REF!</f>
        <v>#REF!</v>
      </c>
      <c r="F41" s="95">
        <f>+'PARTE DIC2021'!E65</f>
        <v>821</v>
      </c>
      <c r="G41" s="95">
        <f>+'PARTE DIC2021'!F65</f>
        <v>873</v>
      </c>
      <c r="H41" s="95">
        <f>+'PARTE DIC2021'!G65</f>
        <v>0</v>
      </c>
      <c r="I41" s="95">
        <f>+'PARTE DIC2021'!H65</f>
        <v>547</v>
      </c>
      <c r="J41" s="95">
        <f>+'PARTE DIC2021'!I65</f>
        <v>0</v>
      </c>
      <c r="K41" s="95">
        <f>+'PARTE DIC2021'!J65</f>
        <v>547</v>
      </c>
      <c r="L41" s="95">
        <f>+'PARTE DIC2021'!K65</f>
        <v>326</v>
      </c>
      <c r="M41" s="95">
        <f>+'PARTE DIC2021'!L65</f>
        <v>0</v>
      </c>
      <c r="N41" s="95">
        <f>+'PARTE DIC2021'!M65</f>
        <v>326</v>
      </c>
      <c r="O41" s="95">
        <f>+'PARTE DIC2021'!N65</f>
        <v>873</v>
      </c>
      <c r="P41" s="95">
        <f>+'PARTE DIC2021'!O65</f>
        <v>52</v>
      </c>
      <c r="Q41" s="1146">
        <f>+'PARTE DIC2021'!P65</f>
        <v>6.3337393422655319E-2</v>
      </c>
      <c r="R41" s="98"/>
    </row>
    <row r="42" spans="1:18" ht="15.75" customHeight="1">
      <c r="A42" s="94" t="str">
        <f t="shared" si="0"/>
        <v>EPM</v>
      </c>
      <c r="B42" s="88">
        <f t="shared" si="1"/>
        <v>33</v>
      </c>
      <c r="C42" s="95" t="str">
        <f>+'PARTE DIC2021'!D38</f>
        <v>EPMSCPIT Pitalito</v>
      </c>
      <c r="D42" s="95" t="e">
        <f>+'PARTE DIC2021'!#REF!</f>
        <v>#REF!</v>
      </c>
      <c r="E42" s="95" t="e">
        <f>+'PARTE DIC2021'!#REF!</f>
        <v>#REF!</v>
      </c>
      <c r="F42" s="95">
        <f>+'PARTE DIC2021'!E38</f>
        <v>650</v>
      </c>
      <c r="G42" s="95">
        <f>+'PARTE DIC2021'!F38</f>
        <v>811</v>
      </c>
      <c r="H42" s="95">
        <f>+'PARTE DIC2021'!G38</f>
        <v>30</v>
      </c>
      <c r="I42" s="95">
        <f>+'PARTE DIC2021'!H38</f>
        <v>298</v>
      </c>
      <c r="J42" s="95">
        <f>+'PARTE DIC2021'!I38</f>
        <v>16</v>
      </c>
      <c r="K42" s="95">
        <f>+'PARTE DIC2021'!J38</f>
        <v>314</v>
      </c>
      <c r="L42" s="95">
        <f>+'PARTE DIC2021'!K38</f>
        <v>513</v>
      </c>
      <c r="M42" s="95">
        <f>+'PARTE DIC2021'!L38</f>
        <v>14</v>
      </c>
      <c r="N42" s="95">
        <f>+'PARTE DIC2021'!M38</f>
        <v>527</v>
      </c>
      <c r="O42" s="95">
        <f>+'PARTE DIC2021'!N38</f>
        <v>841</v>
      </c>
      <c r="P42" s="95">
        <f>+'PARTE DIC2021'!O38</f>
        <v>191</v>
      </c>
      <c r="Q42" s="1146">
        <f>+'PARTE DIC2021'!P38</f>
        <v>0.29384615384615387</v>
      </c>
      <c r="R42" s="98"/>
    </row>
    <row r="43" spans="1:18" ht="15.75" customHeight="1">
      <c r="A43" s="94" t="str">
        <f t="shared" si="0"/>
        <v>EPM</v>
      </c>
      <c r="B43" s="88">
        <f t="shared" ref="B43:B61" si="2">IF(ISBLANK(C43),0,B42+1)</f>
        <v>34</v>
      </c>
      <c r="C43" s="95" t="str">
        <f>+'PARTE DIC2021'!D133</f>
        <v>EPMSCPEI-ERE Pereira</v>
      </c>
      <c r="D43" s="95" t="e">
        <f>+'PARTE DIC2021'!#REF!</f>
        <v>#REF!</v>
      </c>
      <c r="E43" s="95" t="e">
        <f>+'PARTE DIC2021'!#REF!</f>
        <v>#REF!</v>
      </c>
      <c r="F43" s="95">
        <f>+'PARTE DIC2021'!E133</f>
        <v>649</v>
      </c>
      <c r="G43" s="95">
        <f>+'PARTE DIC2021'!F133</f>
        <v>818</v>
      </c>
      <c r="H43" s="95">
        <f>+'PARTE DIC2021'!G133</f>
        <v>0</v>
      </c>
      <c r="I43" s="95">
        <f>+'PARTE DIC2021'!H133</f>
        <v>239</v>
      </c>
      <c r="J43" s="95">
        <f>+'PARTE DIC2021'!I133</f>
        <v>0</v>
      </c>
      <c r="K43" s="95">
        <f>+'PARTE DIC2021'!J133</f>
        <v>239</v>
      </c>
      <c r="L43" s="95">
        <f>+'PARTE DIC2021'!K133</f>
        <v>579</v>
      </c>
      <c r="M43" s="95">
        <f>+'PARTE DIC2021'!L133</f>
        <v>0</v>
      </c>
      <c r="N43" s="95">
        <f>+'PARTE DIC2021'!M133</f>
        <v>579</v>
      </c>
      <c r="O43" s="95">
        <f>+'PARTE DIC2021'!N133</f>
        <v>818</v>
      </c>
      <c r="P43" s="95">
        <f>+'PARTE DIC2021'!O133</f>
        <v>169</v>
      </c>
      <c r="Q43" s="1146">
        <f>+'PARTE DIC2021'!P133</f>
        <v>0.26040061633281963</v>
      </c>
      <c r="R43" s="98"/>
    </row>
    <row r="44" spans="1:18" ht="15.75" customHeight="1">
      <c r="A44" s="94" t="str">
        <f t="shared" si="0"/>
        <v>EPM</v>
      </c>
      <c r="B44" s="88">
        <f t="shared" si="2"/>
        <v>35</v>
      </c>
      <c r="C44" s="95" t="str">
        <f>+'PARTE DIC2021'!D86</f>
        <v>EPMSCBA-ERE Barranquilla</v>
      </c>
      <c r="D44" s="95" t="e">
        <f>+'PARTE DIC2021'!#REF!</f>
        <v>#REF!</v>
      </c>
      <c r="E44" s="95" t="e">
        <f>+'PARTE DIC2021'!#REF!</f>
        <v>#REF!</v>
      </c>
      <c r="F44" s="95">
        <f>+'PARTE DIC2021'!E86</f>
        <v>640</v>
      </c>
      <c r="G44" s="95">
        <f>+'PARTE DIC2021'!F86</f>
        <v>1072</v>
      </c>
      <c r="H44" s="95">
        <f>+'PARTE DIC2021'!G86</f>
        <v>1</v>
      </c>
      <c r="I44" s="95">
        <f>+'PARTE DIC2021'!H86</f>
        <v>530</v>
      </c>
      <c r="J44" s="95">
        <f>+'PARTE DIC2021'!I86</f>
        <v>0</v>
      </c>
      <c r="K44" s="95">
        <f>+'PARTE DIC2021'!J86</f>
        <v>530</v>
      </c>
      <c r="L44" s="95">
        <f>+'PARTE DIC2021'!K86</f>
        <v>542</v>
      </c>
      <c r="M44" s="95">
        <f>+'PARTE DIC2021'!L86</f>
        <v>1</v>
      </c>
      <c r="N44" s="95">
        <f>+'PARTE DIC2021'!M86</f>
        <v>543</v>
      </c>
      <c r="O44" s="95">
        <f>+'PARTE DIC2021'!N86</f>
        <v>1073</v>
      </c>
      <c r="P44" s="95">
        <f>+'PARTE DIC2021'!O86</f>
        <v>433</v>
      </c>
      <c r="Q44" s="1146">
        <f>+'PARTE DIC2021'!P86</f>
        <v>0.67656249999999996</v>
      </c>
      <c r="R44" s="98"/>
    </row>
    <row r="45" spans="1:18" ht="15.75" customHeight="1">
      <c r="A45" s="94" t="str">
        <f t="shared" si="0"/>
        <v>EPM</v>
      </c>
      <c r="B45" s="88">
        <f t="shared" si="2"/>
        <v>36</v>
      </c>
      <c r="C45" s="95" t="str">
        <f>+'PARTE DIC2021'!D122</f>
        <v>EPMSCMAN Manizales</v>
      </c>
      <c r="D45" s="95" t="e">
        <f>+'PARTE DIC2021'!#REF!</f>
        <v>#REF!</v>
      </c>
      <c r="E45" s="95" t="e">
        <f>+'PARTE DIC2021'!#REF!</f>
        <v>#REF!</v>
      </c>
      <c r="F45" s="95">
        <f>+'PARTE DIC2021'!E122</f>
        <v>627</v>
      </c>
      <c r="G45" s="95">
        <f>+'PARTE DIC2021'!F122</f>
        <v>996</v>
      </c>
      <c r="H45" s="95">
        <f>+'PARTE DIC2021'!G122</f>
        <v>0</v>
      </c>
      <c r="I45" s="95">
        <f>+'PARTE DIC2021'!H122</f>
        <v>210</v>
      </c>
      <c r="J45" s="95">
        <f>+'PARTE DIC2021'!I122</f>
        <v>0</v>
      </c>
      <c r="K45" s="95">
        <f>+'PARTE DIC2021'!J122</f>
        <v>210</v>
      </c>
      <c r="L45" s="95">
        <f>+'PARTE DIC2021'!K122</f>
        <v>786</v>
      </c>
      <c r="M45" s="95">
        <f>+'PARTE DIC2021'!L122</f>
        <v>0</v>
      </c>
      <c r="N45" s="95">
        <f>+'PARTE DIC2021'!M122</f>
        <v>786</v>
      </c>
      <c r="O45" s="95">
        <f>+'PARTE DIC2021'!N122</f>
        <v>996</v>
      </c>
      <c r="P45" s="95">
        <f>+'PARTE DIC2021'!O122</f>
        <v>369</v>
      </c>
      <c r="Q45" s="1146">
        <f>+'PARTE DIC2021'!P122</f>
        <v>0.58851674641148333</v>
      </c>
      <c r="R45" s="98"/>
    </row>
    <row r="46" spans="1:18" ht="15.75" customHeight="1">
      <c r="A46" s="94" t="str">
        <f t="shared" si="0"/>
        <v>EPM</v>
      </c>
      <c r="B46" s="88">
        <f t="shared" si="2"/>
        <v>37</v>
      </c>
      <c r="C46" s="95" t="str">
        <f>+'PARTE DIC2021'!D58</f>
        <v>EPMSCPAS-RM Pasto</v>
      </c>
      <c r="D46" s="95" t="e">
        <f>+'PARTE DIC2021'!#REF!</f>
        <v>#REF!</v>
      </c>
      <c r="E46" s="95" t="e">
        <f>+'PARTE DIC2021'!#REF!</f>
        <v>#REF!</v>
      </c>
      <c r="F46" s="95">
        <f>+'PARTE DIC2021'!E58</f>
        <v>568</v>
      </c>
      <c r="G46" s="95">
        <f>+'PARTE DIC2021'!F58</f>
        <v>717</v>
      </c>
      <c r="H46" s="95">
        <f>+'PARTE DIC2021'!G58</f>
        <v>75</v>
      </c>
      <c r="I46" s="95">
        <f>+'PARTE DIC2021'!H58</f>
        <v>237</v>
      </c>
      <c r="J46" s="95">
        <f>+'PARTE DIC2021'!I58</f>
        <v>41</v>
      </c>
      <c r="K46" s="95">
        <f>+'PARTE DIC2021'!J58</f>
        <v>278</v>
      </c>
      <c r="L46" s="95">
        <f>+'PARTE DIC2021'!K58</f>
        <v>480</v>
      </c>
      <c r="M46" s="95">
        <f>+'PARTE DIC2021'!L58</f>
        <v>34</v>
      </c>
      <c r="N46" s="95">
        <f>+'PARTE DIC2021'!M58</f>
        <v>514</v>
      </c>
      <c r="O46" s="95">
        <f>+'PARTE DIC2021'!N58</f>
        <v>792</v>
      </c>
      <c r="P46" s="95">
        <f>+'PARTE DIC2021'!O58</f>
        <v>224</v>
      </c>
      <c r="Q46" s="1146">
        <f>+'PARTE DIC2021'!P58</f>
        <v>0.39436619718309851</v>
      </c>
      <c r="R46" s="98"/>
    </row>
    <row r="47" spans="1:18" ht="15.75" customHeight="1">
      <c r="A47" s="94" t="str">
        <f t="shared" si="0"/>
        <v>CPM</v>
      </c>
      <c r="B47" s="88">
        <f t="shared" si="2"/>
        <v>38</v>
      </c>
      <c r="C47" s="95" t="str">
        <f>+'PARTE DIC2021'!D39</f>
        <v>CPMSFLO-ERE-RM Florencia</v>
      </c>
      <c r="D47" s="95" t="e">
        <f>+'PARTE DIC2021'!#REF!</f>
        <v>#REF!</v>
      </c>
      <c r="E47" s="95" t="e">
        <f>+'PARTE DIC2021'!#REF!</f>
        <v>#REF!</v>
      </c>
      <c r="F47" s="95">
        <f>+'PARTE DIC2021'!E39</f>
        <v>550</v>
      </c>
      <c r="G47" s="95">
        <f>+'PARTE DIC2021'!F39</f>
        <v>773</v>
      </c>
      <c r="H47" s="95">
        <f>+'PARTE DIC2021'!G39</f>
        <v>57</v>
      </c>
      <c r="I47" s="95">
        <f>+'PARTE DIC2021'!H39</f>
        <v>388</v>
      </c>
      <c r="J47" s="95">
        <f>+'PARTE DIC2021'!I39</f>
        <v>26</v>
      </c>
      <c r="K47" s="95">
        <f>+'PARTE DIC2021'!J39</f>
        <v>414</v>
      </c>
      <c r="L47" s="95">
        <f>+'PARTE DIC2021'!K39</f>
        <v>385</v>
      </c>
      <c r="M47" s="95">
        <f>+'PARTE DIC2021'!L39</f>
        <v>31</v>
      </c>
      <c r="N47" s="95">
        <f>+'PARTE DIC2021'!M39</f>
        <v>416</v>
      </c>
      <c r="O47" s="95">
        <f>+'PARTE DIC2021'!N39</f>
        <v>830</v>
      </c>
      <c r="P47" s="95">
        <f>+'PARTE DIC2021'!O39</f>
        <v>280</v>
      </c>
      <c r="Q47" s="1146">
        <f>+'PARTE DIC2021'!P39</f>
        <v>0.50909090909090904</v>
      </c>
      <c r="R47" s="98"/>
    </row>
    <row r="48" spans="1:18" ht="15.75" customHeight="1">
      <c r="A48" s="94" t="str">
        <f t="shared" si="0"/>
        <v>EPM</v>
      </c>
      <c r="B48" s="88">
        <f t="shared" si="2"/>
        <v>39</v>
      </c>
      <c r="C48" s="95" t="str">
        <f>+'PARTE DIC2021'!D84</f>
        <v>EPMSCSIN Sincelejo</v>
      </c>
      <c r="D48" s="95" t="e">
        <f>+'PARTE DIC2021'!#REF!</f>
        <v>#REF!</v>
      </c>
      <c r="E48" s="95" t="e">
        <f>+'PARTE DIC2021'!#REF!</f>
        <v>#REF!</v>
      </c>
      <c r="F48" s="95">
        <f>+'PARTE DIC2021'!E84</f>
        <v>512</v>
      </c>
      <c r="G48" s="95">
        <f>+'PARTE DIC2021'!F84</f>
        <v>431</v>
      </c>
      <c r="H48" s="95">
        <f>+'PARTE DIC2021'!G84</f>
        <v>18</v>
      </c>
      <c r="I48" s="95">
        <f>+'PARTE DIC2021'!H84</f>
        <v>231</v>
      </c>
      <c r="J48" s="95">
        <f>+'PARTE DIC2021'!I84</f>
        <v>11</v>
      </c>
      <c r="K48" s="95">
        <f>+'PARTE DIC2021'!J84</f>
        <v>242</v>
      </c>
      <c r="L48" s="95">
        <f>+'PARTE DIC2021'!K84</f>
        <v>200</v>
      </c>
      <c r="M48" s="95">
        <f>+'PARTE DIC2021'!L84</f>
        <v>7</v>
      </c>
      <c r="N48" s="95">
        <f>+'PARTE DIC2021'!M84</f>
        <v>207</v>
      </c>
      <c r="O48" s="95">
        <f>+'PARTE DIC2021'!N84</f>
        <v>449</v>
      </c>
      <c r="P48" s="95">
        <f>+'PARTE DIC2021'!O84</f>
        <v>-63</v>
      </c>
      <c r="Q48" s="1146">
        <f>+'PARTE DIC2021'!P84</f>
        <v>-0.123046875</v>
      </c>
      <c r="R48" s="98"/>
    </row>
    <row r="49" spans="1:18" ht="15.75" customHeight="1">
      <c r="A49" s="94" t="str">
        <f t="shared" si="0"/>
        <v>CMS</v>
      </c>
      <c r="B49" s="88">
        <f t="shared" si="2"/>
        <v>40</v>
      </c>
      <c r="C49" s="95" t="str">
        <f>+'PARTE DIC2021'!D74</f>
        <v>CMSBA-JP Barranquilla</v>
      </c>
      <c r="D49" s="95" t="e">
        <f>+'PARTE DIC2021'!#REF!</f>
        <v>#REF!</v>
      </c>
      <c r="E49" s="95" t="e">
        <f>+'PARTE DIC2021'!#REF!</f>
        <v>#REF!</v>
      </c>
      <c r="F49" s="95">
        <f>+'PARTE DIC2021'!E74</f>
        <v>454</v>
      </c>
      <c r="G49" s="95">
        <f>+'PARTE DIC2021'!F74</f>
        <v>663</v>
      </c>
      <c r="H49" s="95">
        <f>+'PARTE DIC2021'!G74</f>
        <v>0</v>
      </c>
      <c r="I49" s="95">
        <f>+'PARTE DIC2021'!H74</f>
        <v>431</v>
      </c>
      <c r="J49" s="95">
        <f>+'PARTE DIC2021'!I74</f>
        <v>0</v>
      </c>
      <c r="K49" s="95">
        <f>+'PARTE DIC2021'!J74</f>
        <v>431</v>
      </c>
      <c r="L49" s="95">
        <f>+'PARTE DIC2021'!K74</f>
        <v>232</v>
      </c>
      <c r="M49" s="95">
        <f>+'PARTE DIC2021'!L74</f>
        <v>0</v>
      </c>
      <c r="N49" s="95">
        <f>+'PARTE DIC2021'!M74</f>
        <v>232</v>
      </c>
      <c r="O49" s="95">
        <f>+'PARTE DIC2021'!N74</f>
        <v>663</v>
      </c>
      <c r="P49" s="95">
        <f>+'PARTE DIC2021'!O74</f>
        <v>209</v>
      </c>
      <c r="Q49" s="1146">
        <f>+'PARTE DIC2021'!P74</f>
        <v>0.4603524229074889</v>
      </c>
      <c r="R49" s="98"/>
    </row>
    <row r="50" spans="1:18" ht="15.75" customHeight="1">
      <c r="A50" s="94" t="str">
        <f t="shared" si="0"/>
        <v>EPM</v>
      </c>
      <c r="B50" s="88">
        <f t="shared" si="2"/>
        <v>41</v>
      </c>
      <c r="C50" s="95" t="str">
        <f>+'PARTE DIC2021'!D69</f>
        <v>EPMSCCAR Cartago</v>
      </c>
      <c r="D50" s="95" t="e">
        <f>+'PARTE DIC2021'!#REF!</f>
        <v>#REF!</v>
      </c>
      <c r="E50" s="95" t="e">
        <f>+'PARTE DIC2021'!#REF!</f>
        <v>#REF!</v>
      </c>
      <c r="F50" s="95">
        <f>+'PARTE DIC2021'!E69</f>
        <v>428</v>
      </c>
      <c r="G50" s="95">
        <f>+'PARTE DIC2021'!F69</f>
        <v>502</v>
      </c>
      <c r="H50" s="95">
        <f>+'PARTE DIC2021'!G69</f>
        <v>0</v>
      </c>
      <c r="I50" s="95">
        <f>+'PARTE DIC2021'!H69</f>
        <v>175</v>
      </c>
      <c r="J50" s="95">
        <f>+'PARTE DIC2021'!I69</f>
        <v>0</v>
      </c>
      <c r="K50" s="95">
        <f>+'PARTE DIC2021'!J69</f>
        <v>175</v>
      </c>
      <c r="L50" s="95">
        <f>+'PARTE DIC2021'!K69</f>
        <v>327</v>
      </c>
      <c r="M50" s="95">
        <f>+'PARTE DIC2021'!L69</f>
        <v>0</v>
      </c>
      <c r="N50" s="95">
        <f>+'PARTE DIC2021'!M69</f>
        <v>327</v>
      </c>
      <c r="O50" s="95">
        <f>+'PARTE DIC2021'!N69</f>
        <v>502</v>
      </c>
      <c r="P50" s="95">
        <f>+'PARTE DIC2021'!O69</f>
        <v>74</v>
      </c>
      <c r="Q50" s="1146">
        <f>+'PARTE DIC2021'!P69</f>
        <v>0.17289719626168232</v>
      </c>
      <c r="R50" s="98"/>
    </row>
    <row r="51" spans="1:18" ht="15.75" customHeight="1">
      <c r="A51" s="94" t="str">
        <f t="shared" si="0"/>
        <v>EPM</v>
      </c>
      <c r="B51" s="88">
        <f t="shared" si="2"/>
        <v>42</v>
      </c>
      <c r="C51" s="95" t="str">
        <f>+'PARTE DIC2021'!D18</f>
        <v>EPMSCSOG-RM-JP Sogamoso</v>
      </c>
      <c r="D51" s="95" t="e">
        <f>+'PARTE DIC2021'!#REF!</f>
        <v>#REF!</v>
      </c>
      <c r="E51" s="95" t="e">
        <f>+'PARTE DIC2021'!#REF!</f>
        <v>#REF!</v>
      </c>
      <c r="F51" s="95">
        <f>+'PARTE DIC2021'!E18</f>
        <v>395</v>
      </c>
      <c r="G51" s="95">
        <f>+'PARTE DIC2021'!F18</f>
        <v>388</v>
      </c>
      <c r="H51" s="95">
        <f>+'PARTE DIC2021'!G18</f>
        <v>128</v>
      </c>
      <c r="I51" s="95">
        <f>+'PARTE DIC2021'!H18</f>
        <v>77</v>
      </c>
      <c r="J51" s="95">
        <f>+'PARTE DIC2021'!I18</f>
        <v>51</v>
      </c>
      <c r="K51" s="95">
        <f>+'PARTE DIC2021'!J18</f>
        <v>128</v>
      </c>
      <c r="L51" s="95">
        <f>+'PARTE DIC2021'!K18</f>
        <v>311</v>
      </c>
      <c r="M51" s="95">
        <f>+'PARTE DIC2021'!L18</f>
        <v>77</v>
      </c>
      <c r="N51" s="95">
        <f>+'PARTE DIC2021'!M18</f>
        <v>388</v>
      </c>
      <c r="O51" s="95">
        <f>+'PARTE DIC2021'!N18</f>
        <v>516</v>
      </c>
      <c r="P51" s="95">
        <f>+'PARTE DIC2021'!O18</f>
        <v>121</v>
      </c>
      <c r="Q51" s="1146">
        <f>+'PARTE DIC2021'!P18</f>
        <v>0.30632911392405071</v>
      </c>
      <c r="R51" s="98"/>
    </row>
    <row r="52" spans="1:18" ht="15.75" customHeight="1">
      <c r="A52" s="94" t="str">
        <f t="shared" si="0"/>
        <v>CPA</v>
      </c>
      <c r="B52" s="88">
        <f t="shared" si="2"/>
        <v>43</v>
      </c>
      <c r="C52" s="95" t="str">
        <f>+'PARTE DIC2021'!D103</f>
        <v>CPAMSPA-ERE La Paz</v>
      </c>
      <c r="D52" s="95" t="e">
        <f>+'PARTE DIC2021'!#REF!</f>
        <v>#REF!</v>
      </c>
      <c r="E52" s="95" t="e">
        <f>+'PARTE DIC2021'!#REF!</f>
        <v>#REF!</v>
      </c>
      <c r="F52" s="95">
        <f>+'PARTE DIC2021'!E103</f>
        <v>375</v>
      </c>
      <c r="G52" s="95">
        <f>+'PARTE DIC2021'!F103</f>
        <v>1082</v>
      </c>
      <c r="H52" s="95">
        <f>+'PARTE DIC2021'!G103</f>
        <v>0</v>
      </c>
      <c r="I52" s="95">
        <f>+'PARTE DIC2021'!H103</f>
        <v>173</v>
      </c>
      <c r="J52" s="95">
        <f>+'PARTE DIC2021'!I103</f>
        <v>0</v>
      </c>
      <c r="K52" s="95">
        <f>+'PARTE DIC2021'!J103</f>
        <v>173</v>
      </c>
      <c r="L52" s="95">
        <f>+'PARTE DIC2021'!K103</f>
        <v>909</v>
      </c>
      <c r="M52" s="95">
        <f>+'PARTE DIC2021'!L103</f>
        <v>0</v>
      </c>
      <c r="N52" s="95">
        <f>+'PARTE DIC2021'!M103</f>
        <v>909</v>
      </c>
      <c r="O52" s="95">
        <f>+'PARTE DIC2021'!N103</f>
        <v>1082</v>
      </c>
      <c r="P52" s="95">
        <f>+'PARTE DIC2021'!O103</f>
        <v>707</v>
      </c>
      <c r="Q52" s="1146">
        <f>+'PARTE DIC2021'!P103</f>
        <v>1.8853333333333335</v>
      </c>
      <c r="R52" s="98"/>
    </row>
    <row r="53" spans="1:18" ht="15.75" customHeight="1">
      <c r="A53" s="94" t="str">
        <f t="shared" si="0"/>
        <v>EPM</v>
      </c>
      <c r="B53" s="88">
        <f t="shared" si="2"/>
        <v>44</v>
      </c>
      <c r="C53" s="95" t="str">
        <f>+'PARTE DIC2021'!D131</f>
        <v>EPMSCARM Armenia</v>
      </c>
      <c r="D53" s="95" t="e">
        <f>+'PARTE DIC2021'!#REF!</f>
        <v>#REF!</v>
      </c>
      <c r="E53" s="95" t="e">
        <f>+'PARTE DIC2021'!#REF!</f>
        <v>#REF!</v>
      </c>
      <c r="F53" s="95">
        <f>+'PARTE DIC2021'!E131</f>
        <v>350</v>
      </c>
      <c r="G53" s="95">
        <f>+'PARTE DIC2021'!F131</f>
        <v>449</v>
      </c>
      <c r="H53" s="95">
        <f>+'PARTE DIC2021'!G131</f>
        <v>0</v>
      </c>
      <c r="I53" s="95">
        <f>+'PARTE DIC2021'!H131</f>
        <v>76</v>
      </c>
      <c r="J53" s="95">
        <f>+'PARTE DIC2021'!I131</f>
        <v>0</v>
      </c>
      <c r="K53" s="95">
        <f>+'PARTE DIC2021'!J131</f>
        <v>76</v>
      </c>
      <c r="L53" s="95">
        <f>+'PARTE DIC2021'!K131</f>
        <v>373</v>
      </c>
      <c r="M53" s="95">
        <f>+'PARTE DIC2021'!L131</f>
        <v>0</v>
      </c>
      <c r="N53" s="95">
        <f>+'PARTE DIC2021'!M131</f>
        <v>373</v>
      </c>
      <c r="O53" s="95">
        <f>+'PARTE DIC2021'!N131</f>
        <v>449</v>
      </c>
      <c r="P53" s="95">
        <f>+'PARTE DIC2021'!O131</f>
        <v>99</v>
      </c>
      <c r="Q53" s="1146">
        <f>+'PARTE DIC2021'!P131</f>
        <v>0.28285714285714292</v>
      </c>
      <c r="R53" s="98"/>
    </row>
    <row r="54" spans="1:18" ht="15.75" customHeight="1">
      <c r="A54" s="94" t="str">
        <f t="shared" si="0"/>
        <v>CPM</v>
      </c>
      <c r="B54" s="88">
        <f t="shared" si="2"/>
        <v>45</v>
      </c>
      <c r="C54" s="95" t="str">
        <f>+'PARTE DIC2021'!D12</f>
        <v>CPMSCHI Chiquinquirá</v>
      </c>
      <c r="D54" s="95" t="e">
        <f>+'PARTE DIC2021'!#REF!</f>
        <v>#REF!</v>
      </c>
      <c r="E54" s="95" t="e">
        <f>+'PARTE DIC2021'!#REF!</f>
        <v>#REF!</v>
      </c>
      <c r="F54" s="95">
        <f>+'PARTE DIC2021'!E12</f>
        <v>322</v>
      </c>
      <c r="G54" s="95">
        <f>+'PARTE DIC2021'!F12</f>
        <v>351</v>
      </c>
      <c r="H54" s="95">
        <f>+'PARTE DIC2021'!G12</f>
        <v>0</v>
      </c>
      <c r="I54" s="95">
        <f>+'PARTE DIC2021'!H12</f>
        <v>26</v>
      </c>
      <c r="J54" s="95">
        <f>+'PARTE DIC2021'!I12</f>
        <v>0</v>
      </c>
      <c r="K54" s="95">
        <f>+'PARTE DIC2021'!J12</f>
        <v>26</v>
      </c>
      <c r="L54" s="95">
        <f>+'PARTE DIC2021'!K12</f>
        <v>325</v>
      </c>
      <c r="M54" s="95">
        <f>+'PARTE DIC2021'!L12</f>
        <v>0</v>
      </c>
      <c r="N54" s="95">
        <f>+'PARTE DIC2021'!M12</f>
        <v>325</v>
      </c>
      <c r="O54" s="95">
        <f>+'PARTE DIC2021'!N12</f>
        <v>351</v>
      </c>
      <c r="P54" s="95">
        <f>+'PARTE DIC2021'!O12</f>
        <v>29</v>
      </c>
      <c r="Q54" s="1146">
        <f>+'PARTE DIC2021'!P12</f>
        <v>9.0062111801242128E-2</v>
      </c>
      <c r="R54" s="98"/>
    </row>
    <row r="55" spans="1:18" ht="15.75" customHeight="1">
      <c r="A55" s="94" t="str">
        <f t="shared" si="0"/>
        <v>EPM</v>
      </c>
      <c r="B55" s="88">
        <f t="shared" si="2"/>
        <v>46</v>
      </c>
      <c r="C55" s="95" t="str">
        <f>+'PARTE DIC2021'!D11</f>
        <v>EPMSCSRV Santa Rosa de Viterbo</v>
      </c>
      <c r="D55" s="95" t="e">
        <f>+'PARTE DIC2021'!#REF!</f>
        <v>#REF!</v>
      </c>
      <c r="E55" s="95" t="e">
        <f>+'PARTE DIC2021'!#REF!</f>
        <v>#REF!</v>
      </c>
      <c r="F55" s="95">
        <f>+'PARTE DIC2021'!E11</f>
        <v>320</v>
      </c>
      <c r="G55" s="95">
        <f>+'PARTE DIC2021'!F11</f>
        <v>341</v>
      </c>
      <c r="H55" s="95">
        <f>+'PARTE DIC2021'!G11</f>
        <v>0</v>
      </c>
      <c r="I55" s="95">
        <f>+'PARTE DIC2021'!H11</f>
        <v>53</v>
      </c>
      <c r="J55" s="95">
        <f>+'PARTE DIC2021'!I11</f>
        <v>0</v>
      </c>
      <c r="K55" s="95">
        <f>+'PARTE DIC2021'!J11</f>
        <v>53</v>
      </c>
      <c r="L55" s="95">
        <f>+'PARTE DIC2021'!K11</f>
        <v>288</v>
      </c>
      <c r="M55" s="95">
        <f>+'PARTE DIC2021'!L11</f>
        <v>0</v>
      </c>
      <c r="N55" s="95">
        <f>+'PARTE DIC2021'!M11</f>
        <v>288</v>
      </c>
      <c r="O55" s="95">
        <f>+'PARTE DIC2021'!N11</f>
        <v>341</v>
      </c>
      <c r="P55" s="95">
        <f>+'PARTE DIC2021'!O11</f>
        <v>21</v>
      </c>
      <c r="Q55" s="1146">
        <f>+'PARTE DIC2021'!P11</f>
        <v>6.5625000000000044E-2</v>
      </c>
      <c r="R55" s="98"/>
    </row>
    <row r="56" spans="1:18" ht="15.75" customHeight="1">
      <c r="A56" s="94" t="str">
        <f t="shared" si="0"/>
        <v>EPM</v>
      </c>
      <c r="B56" s="88">
        <f t="shared" si="2"/>
        <v>47</v>
      </c>
      <c r="C56" s="95" t="str">
        <f>+'PARTE DIC2021'!D97</f>
        <v>EPMSCSOC Socorro</v>
      </c>
      <c r="D56" s="95" t="e">
        <f>+'PARTE DIC2021'!#REF!</f>
        <v>#REF!</v>
      </c>
      <c r="E56" s="95" t="e">
        <f>+'PARTE DIC2021'!#REF!</f>
        <v>#REF!</v>
      </c>
      <c r="F56" s="95">
        <f>+'PARTE DIC2021'!E97</f>
        <v>318</v>
      </c>
      <c r="G56" s="95">
        <f>+'PARTE DIC2021'!F97</f>
        <v>491</v>
      </c>
      <c r="H56" s="95">
        <f>+'PARTE DIC2021'!G97</f>
        <v>0</v>
      </c>
      <c r="I56" s="95">
        <f>+'PARTE DIC2021'!H97</f>
        <v>98</v>
      </c>
      <c r="J56" s="95">
        <f>+'PARTE DIC2021'!I97</f>
        <v>0</v>
      </c>
      <c r="K56" s="95">
        <f>+'PARTE DIC2021'!J97</f>
        <v>98</v>
      </c>
      <c r="L56" s="95">
        <f>+'PARTE DIC2021'!K97</f>
        <v>393</v>
      </c>
      <c r="M56" s="95">
        <f>+'PARTE DIC2021'!L97</f>
        <v>0</v>
      </c>
      <c r="N56" s="95">
        <f>+'PARTE DIC2021'!M97</f>
        <v>393</v>
      </c>
      <c r="O56" s="95">
        <f>+'PARTE DIC2021'!N97</f>
        <v>491</v>
      </c>
      <c r="P56" s="95">
        <f>+'PARTE DIC2021'!O97</f>
        <v>173</v>
      </c>
      <c r="Q56" s="1146">
        <f>+'PARTE DIC2021'!P97</f>
        <v>0.54402515723270439</v>
      </c>
      <c r="R56" s="98"/>
    </row>
    <row r="57" spans="1:18" ht="15.75" customHeight="1">
      <c r="A57" s="94" t="str">
        <f t="shared" si="0"/>
        <v>EPM</v>
      </c>
      <c r="B57" s="88">
        <f t="shared" si="2"/>
        <v>48</v>
      </c>
      <c r="C57" s="95" t="str">
        <f>+'PARTE DIC2021'!D66</f>
        <v>EPMSCBUE Buenaventura</v>
      </c>
      <c r="D57" s="95" t="e">
        <f>+'PARTE DIC2021'!#REF!</f>
        <v>#REF!</v>
      </c>
      <c r="E57" s="95" t="e">
        <f>+'PARTE DIC2021'!#REF!</f>
        <v>#REF!</v>
      </c>
      <c r="F57" s="95">
        <f>+'PARTE DIC2021'!E66</f>
        <v>315</v>
      </c>
      <c r="G57" s="95">
        <f>+'PARTE DIC2021'!F66</f>
        <v>368</v>
      </c>
      <c r="H57" s="95">
        <f>+'PARTE DIC2021'!G66</f>
        <v>28</v>
      </c>
      <c r="I57" s="95">
        <f>+'PARTE DIC2021'!H66</f>
        <v>257</v>
      </c>
      <c r="J57" s="95">
        <f>+'PARTE DIC2021'!I66</f>
        <v>23</v>
      </c>
      <c r="K57" s="95">
        <f>+'PARTE DIC2021'!J66</f>
        <v>280</v>
      </c>
      <c r="L57" s="95">
        <f>+'PARTE DIC2021'!K66</f>
        <v>111</v>
      </c>
      <c r="M57" s="95">
        <f>+'PARTE DIC2021'!L66</f>
        <v>5</v>
      </c>
      <c r="N57" s="95">
        <f>+'PARTE DIC2021'!M66</f>
        <v>116</v>
      </c>
      <c r="O57" s="95">
        <f>+'PARTE DIC2021'!N66</f>
        <v>396</v>
      </c>
      <c r="P57" s="95">
        <f>+'PARTE DIC2021'!O66</f>
        <v>81</v>
      </c>
      <c r="Q57" s="1146">
        <f>+'PARTE DIC2021'!P66</f>
        <v>0.25714285714285712</v>
      </c>
      <c r="R57" s="98"/>
    </row>
    <row r="58" spans="1:18" ht="15.75" customHeight="1">
      <c r="A58" s="94" t="str">
        <f t="shared" si="0"/>
        <v>EPM</v>
      </c>
      <c r="B58" s="88">
        <f t="shared" si="2"/>
        <v>49</v>
      </c>
      <c r="C58" s="95" t="str">
        <f>+'PARTE DIC2021'!D81</f>
        <v>EPMSCSM Santa Marta</v>
      </c>
      <c r="D58" s="95" t="e">
        <f>+'PARTE DIC2021'!#REF!</f>
        <v>#REF!</v>
      </c>
      <c r="E58" s="95" t="e">
        <f>+'PARTE DIC2021'!#REF!</f>
        <v>#REF!</v>
      </c>
      <c r="F58" s="95">
        <f>+'PARTE DIC2021'!E81</f>
        <v>312</v>
      </c>
      <c r="G58" s="95">
        <f>+'PARTE DIC2021'!F81</f>
        <v>740</v>
      </c>
      <c r="H58" s="95">
        <f>+'PARTE DIC2021'!G81</f>
        <v>63</v>
      </c>
      <c r="I58" s="95">
        <f>+'PARTE DIC2021'!H81</f>
        <v>369</v>
      </c>
      <c r="J58" s="95">
        <f>+'PARTE DIC2021'!I81</f>
        <v>33</v>
      </c>
      <c r="K58" s="95">
        <f>+'PARTE DIC2021'!J81</f>
        <v>402</v>
      </c>
      <c r="L58" s="95">
        <f>+'PARTE DIC2021'!K81</f>
        <v>371</v>
      </c>
      <c r="M58" s="95">
        <f>+'PARTE DIC2021'!L81</f>
        <v>30</v>
      </c>
      <c r="N58" s="95">
        <f>+'PARTE DIC2021'!M81</f>
        <v>401</v>
      </c>
      <c r="O58" s="95">
        <f>+'PARTE DIC2021'!N81</f>
        <v>803</v>
      </c>
      <c r="P58" s="95">
        <f>+'PARTE DIC2021'!O81</f>
        <v>491</v>
      </c>
      <c r="Q58" s="1146">
        <f>+'PARTE DIC2021'!P81</f>
        <v>1.5737179487179489</v>
      </c>
      <c r="R58" s="98"/>
    </row>
    <row r="59" spans="1:18" ht="15.75" customHeight="1">
      <c r="A59" s="94" t="str">
        <f t="shared" si="0"/>
        <v>EPM</v>
      </c>
      <c r="B59" s="88">
        <f t="shared" si="2"/>
        <v>50</v>
      </c>
      <c r="C59" s="95" t="str">
        <f>+'PARTE DIC2021'!D13</f>
        <v>EPMSCDUI Duitama</v>
      </c>
      <c r="D59" s="95" t="e">
        <f>+'PARTE DIC2021'!#REF!</f>
        <v>#REF!</v>
      </c>
      <c r="E59" s="95" t="e">
        <f>+'PARTE DIC2021'!#REF!</f>
        <v>#REF!</v>
      </c>
      <c r="F59" s="95">
        <f>+'PARTE DIC2021'!E13</f>
        <v>306</v>
      </c>
      <c r="G59" s="95">
        <f>+'PARTE DIC2021'!F13</f>
        <v>373</v>
      </c>
      <c r="H59" s="95">
        <f>+'PARTE DIC2021'!G13</f>
        <v>0</v>
      </c>
      <c r="I59" s="95">
        <f>+'PARTE DIC2021'!H13</f>
        <v>61</v>
      </c>
      <c r="J59" s="95">
        <f>+'PARTE DIC2021'!I13</f>
        <v>0</v>
      </c>
      <c r="K59" s="95">
        <f>+'PARTE DIC2021'!J13</f>
        <v>61</v>
      </c>
      <c r="L59" s="95">
        <f>+'PARTE DIC2021'!K13</f>
        <v>312</v>
      </c>
      <c r="M59" s="95">
        <f>+'PARTE DIC2021'!L13</f>
        <v>0</v>
      </c>
      <c r="N59" s="95">
        <f>+'PARTE DIC2021'!M13</f>
        <v>312</v>
      </c>
      <c r="O59" s="95">
        <f>+'PARTE DIC2021'!N13</f>
        <v>373</v>
      </c>
      <c r="P59" s="95">
        <f>+'PARTE DIC2021'!O13</f>
        <v>67</v>
      </c>
      <c r="Q59" s="1146">
        <f>+'PARTE DIC2021'!P13</f>
        <v>0.21895424836601318</v>
      </c>
      <c r="R59" s="98"/>
    </row>
    <row r="60" spans="1:18" ht="15.75" customHeight="1">
      <c r="A60" s="94" t="str">
        <f t="shared" si="0"/>
        <v>RMP</v>
      </c>
      <c r="B60" s="88">
        <f t="shared" si="2"/>
        <v>51</v>
      </c>
      <c r="C60" s="95" t="str">
        <f>+'PARTE DIC2021'!D135</f>
        <v>RMPEI Pereira</v>
      </c>
      <c r="D60" s="95" t="e">
        <f>+'PARTE DIC2021'!#REF!</f>
        <v>#REF!</v>
      </c>
      <c r="E60" s="95" t="e">
        <f>+'PARTE DIC2021'!#REF!</f>
        <v>#REF!</v>
      </c>
      <c r="F60" s="95">
        <f>+'PARTE DIC2021'!E135</f>
        <v>305</v>
      </c>
      <c r="G60" s="95">
        <f>+'PARTE DIC2021'!F135</f>
        <v>0</v>
      </c>
      <c r="H60" s="95">
        <f>+'PARTE DIC2021'!G135</f>
        <v>287</v>
      </c>
      <c r="I60" s="95">
        <f>+'PARTE DIC2021'!H135</f>
        <v>0</v>
      </c>
      <c r="J60" s="95">
        <f>+'PARTE DIC2021'!I135</f>
        <v>79</v>
      </c>
      <c r="K60" s="95">
        <f>+'PARTE DIC2021'!J135</f>
        <v>79</v>
      </c>
      <c r="L60" s="95">
        <f>+'PARTE DIC2021'!K135</f>
        <v>0</v>
      </c>
      <c r="M60" s="95">
        <f>+'PARTE DIC2021'!L135</f>
        <v>208</v>
      </c>
      <c r="N60" s="95">
        <f>+'PARTE DIC2021'!M135</f>
        <v>208</v>
      </c>
      <c r="O60" s="95">
        <f>+'PARTE DIC2021'!N135</f>
        <v>287</v>
      </c>
      <c r="P60" s="95">
        <f>+'PARTE DIC2021'!O135</f>
        <v>-18</v>
      </c>
      <c r="Q60" s="1146">
        <f>+'PARTE DIC2021'!P135</f>
        <v>-5.9016393442622994E-2</v>
      </c>
      <c r="R60" s="98"/>
    </row>
    <row r="61" spans="1:18" ht="15.75" customHeight="1">
      <c r="A61" s="94" t="str">
        <f t="shared" si="0"/>
        <v>EPM</v>
      </c>
      <c r="B61" s="88">
        <f t="shared" si="2"/>
        <v>52</v>
      </c>
      <c r="C61" s="95" t="str">
        <f>+'PARTE DIC2021'!D37</f>
        <v>EPMSCLPL La Plata</v>
      </c>
      <c r="D61" s="95" t="e">
        <f>+'PARTE DIC2021'!#REF!</f>
        <v>#REF!</v>
      </c>
      <c r="E61" s="95" t="e">
        <f>+'PARTE DIC2021'!#REF!</f>
        <v>#REF!</v>
      </c>
      <c r="F61" s="95">
        <f>+'PARTE DIC2021'!E37</f>
        <v>304</v>
      </c>
      <c r="G61" s="95">
        <f>+'PARTE DIC2021'!F37</f>
        <v>380</v>
      </c>
      <c r="H61" s="95">
        <f>+'PARTE DIC2021'!G37</f>
        <v>0</v>
      </c>
      <c r="I61" s="95">
        <f>+'PARTE DIC2021'!H37</f>
        <v>145</v>
      </c>
      <c r="J61" s="95">
        <f>+'PARTE DIC2021'!I37</f>
        <v>0</v>
      </c>
      <c r="K61" s="95">
        <f>+'PARTE DIC2021'!J37</f>
        <v>145</v>
      </c>
      <c r="L61" s="95">
        <f>+'PARTE DIC2021'!K37</f>
        <v>235</v>
      </c>
      <c r="M61" s="95">
        <f>+'PARTE DIC2021'!L37</f>
        <v>0</v>
      </c>
      <c r="N61" s="95">
        <f>+'PARTE DIC2021'!M37</f>
        <v>235</v>
      </c>
      <c r="O61" s="95">
        <f>+'PARTE DIC2021'!N37</f>
        <v>380</v>
      </c>
      <c r="P61" s="95">
        <f>+'PARTE DIC2021'!O37</f>
        <v>76</v>
      </c>
      <c r="Q61" s="1146">
        <f>+'PARTE DIC2021'!P37</f>
        <v>0.25</v>
      </c>
      <c r="R61" s="98"/>
    </row>
    <row r="62" spans="1:18" ht="15.75" customHeight="1">
      <c r="A62" s="94" t="str">
        <f t="shared" si="0"/>
        <v>CPM</v>
      </c>
      <c r="B62" s="88" t="e">
        <f>IF(ISBLANK(C62),0,#REF!+1)</f>
        <v>#REF!</v>
      </c>
      <c r="C62" s="95" t="str">
        <f>+'PARTE DIC2021'!D118</f>
        <v>CPMSAPD Apartadó</v>
      </c>
      <c r="D62" s="95" t="e">
        <f>+'PARTE DIC2021'!#REF!</f>
        <v>#REF!</v>
      </c>
      <c r="E62" s="95" t="e">
        <f>+'PARTE DIC2021'!#REF!</f>
        <v>#REF!</v>
      </c>
      <c r="F62" s="95">
        <f>+'PARTE DIC2021'!E118</f>
        <v>296</v>
      </c>
      <c r="G62" s="95">
        <f>+'PARTE DIC2021'!F118</f>
        <v>693</v>
      </c>
      <c r="H62" s="95">
        <f>+'PARTE DIC2021'!G118</f>
        <v>0</v>
      </c>
      <c r="I62" s="95">
        <f>+'PARTE DIC2021'!H118</f>
        <v>132</v>
      </c>
      <c r="J62" s="95">
        <f>+'PARTE DIC2021'!I118</f>
        <v>0</v>
      </c>
      <c r="K62" s="95">
        <f>+'PARTE DIC2021'!J118</f>
        <v>132</v>
      </c>
      <c r="L62" s="95">
        <f>+'PARTE DIC2021'!K118</f>
        <v>561</v>
      </c>
      <c r="M62" s="95">
        <f>+'PARTE DIC2021'!L118</f>
        <v>0</v>
      </c>
      <c r="N62" s="95">
        <f>+'PARTE DIC2021'!M118</f>
        <v>561</v>
      </c>
      <c r="O62" s="95">
        <f>+'PARTE DIC2021'!N118</f>
        <v>693</v>
      </c>
      <c r="P62" s="95">
        <f>+'PARTE DIC2021'!O118</f>
        <v>397</v>
      </c>
      <c r="Q62" s="1146">
        <f>+'PARTE DIC2021'!P118</f>
        <v>1.3412162162162162</v>
      </c>
      <c r="R62" s="98"/>
    </row>
    <row r="63" spans="1:18" ht="15.75" customHeight="1">
      <c r="A63" s="94" t="str">
        <f t="shared" si="0"/>
        <v>CPM</v>
      </c>
      <c r="B63" s="88" t="e">
        <f t="shared" ref="B63:B69" si="3">IF(ISBLANK(C63),0,B62+1)</f>
        <v>#REF!</v>
      </c>
      <c r="C63" s="95" t="str">
        <f>+'PARTE DIC2021'!D36</f>
        <v>CPMSGAZ Garzón</v>
      </c>
      <c r="D63" s="95" t="e">
        <f>+'PARTE DIC2021'!#REF!</f>
        <v>#REF!</v>
      </c>
      <c r="E63" s="95" t="e">
        <f>+'PARTE DIC2021'!#REF!</f>
        <v>#REF!</v>
      </c>
      <c r="F63" s="95">
        <f>+'PARTE DIC2021'!E36</f>
        <v>291</v>
      </c>
      <c r="G63" s="95">
        <f>+'PARTE DIC2021'!F36</f>
        <v>371</v>
      </c>
      <c r="H63" s="95">
        <f>+'PARTE DIC2021'!G36</f>
        <v>23</v>
      </c>
      <c r="I63" s="95">
        <f>+'PARTE DIC2021'!H36</f>
        <v>212</v>
      </c>
      <c r="J63" s="95">
        <f>+'PARTE DIC2021'!I36</f>
        <v>15</v>
      </c>
      <c r="K63" s="95">
        <f>+'PARTE DIC2021'!J36</f>
        <v>227</v>
      </c>
      <c r="L63" s="95">
        <f>+'PARTE DIC2021'!K36</f>
        <v>159</v>
      </c>
      <c r="M63" s="95">
        <f>+'PARTE DIC2021'!L36</f>
        <v>8</v>
      </c>
      <c r="N63" s="95">
        <f>+'PARTE DIC2021'!M36</f>
        <v>167</v>
      </c>
      <c r="O63" s="95">
        <f>+'PARTE DIC2021'!N36</f>
        <v>394</v>
      </c>
      <c r="P63" s="95">
        <f>+'PARTE DIC2021'!O36</f>
        <v>103</v>
      </c>
      <c r="Q63" s="1146">
        <f>+'PARTE DIC2021'!P36</f>
        <v>0.35395189003436434</v>
      </c>
      <c r="R63" s="98"/>
    </row>
    <row r="64" spans="1:18" ht="15.75" customHeight="1">
      <c r="A64" s="94" t="str">
        <f t="shared" si="0"/>
        <v>EPM</v>
      </c>
      <c r="B64" s="88" t="e">
        <f t="shared" si="3"/>
        <v>#REF!</v>
      </c>
      <c r="C64" s="95" t="str">
        <f>+'PARTE DIC2021'!D117</f>
        <v>EPMSCQUI Quibdó</v>
      </c>
      <c r="D64" s="95" t="e">
        <f>+'PARTE DIC2021'!#REF!</f>
        <v>#REF!</v>
      </c>
      <c r="E64" s="95" t="e">
        <f>+'PARTE DIC2021'!#REF!</f>
        <v>#REF!</v>
      </c>
      <c r="F64" s="95">
        <f>+'PARTE DIC2021'!E117</f>
        <v>286</v>
      </c>
      <c r="G64" s="95">
        <f>+'PARTE DIC2021'!F117</f>
        <v>387</v>
      </c>
      <c r="H64" s="95">
        <f>+'PARTE DIC2021'!G117</f>
        <v>16</v>
      </c>
      <c r="I64" s="95">
        <f>+'PARTE DIC2021'!H117</f>
        <v>217</v>
      </c>
      <c r="J64" s="95">
        <f>+'PARTE DIC2021'!I117</f>
        <v>10</v>
      </c>
      <c r="K64" s="95">
        <f>+'PARTE DIC2021'!J117</f>
        <v>227</v>
      </c>
      <c r="L64" s="95">
        <f>+'PARTE DIC2021'!K117</f>
        <v>170</v>
      </c>
      <c r="M64" s="95">
        <f>+'PARTE DIC2021'!L117</f>
        <v>6</v>
      </c>
      <c r="N64" s="95">
        <f>+'PARTE DIC2021'!M117</f>
        <v>176</v>
      </c>
      <c r="O64" s="95">
        <f>+'PARTE DIC2021'!N117</f>
        <v>403</v>
      </c>
      <c r="P64" s="95">
        <f>+'PARTE DIC2021'!O117</f>
        <v>117</v>
      </c>
      <c r="Q64" s="1146">
        <f>+'PARTE DIC2021'!P117</f>
        <v>0.40909090909090917</v>
      </c>
      <c r="R64" s="98"/>
    </row>
    <row r="65" spans="1:18" ht="15.75" customHeight="1">
      <c r="A65" s="94" t="str">
        <f t="shared" si="0"/>
        <v>EPM</v>
      </c>
      <c r="B65" s="88" t="e">
        <f t="shared" si="3"/>
        <v>#REF!</v>
      </c>
      <c r="C65" s="95" t="str">
        <f>+'PARTE DIC2021'!D91</f>
        <v>EPMSCPAM Pamplona</v>
      </c>
      <c r="D65" s="95" t="e">
        <f>+'PARTE DIC2021'!#REF!</f>
        <v>#REF!</v>
      </c>
      <c r="E65" s="95" t="e">
        <f>+'PARTE DIC2021'!#REF!</f>
        <v>#REF!</v>
      </c>
      <c r="F65" s="95">
        <f>+'PARTE DIC2021'!E91</f>
        <v>280</v>
      </c>
      <c r="G65" s="95">
        <f>+'PARTE DIC2021'!F91</f>
        <v>303</v>
      </c>
      <c r="H65" s="95">
        <f>+'PARTE DIC2021'!G91</f>
        <v>0</v>
      </c>
      <c r="I65" s="95">
        <f>+'PARTE DIC2021'!H91</f>
        <v>55</v>
      </c>
      <c r="J65" s="95">
        <f>+'PARTE DIC2021'!I91</f>
        <v>0</v>
      </c>
      <c r="K65" s="95">
        <f>+'PARTE DIC2021'!J91</f>
        <v>55</v>
      </c>
      <c r="L65" s="95">
        <f>+'PARTE DIC2021'!K91</f>
        <v>248</v>
      </c>
      <c r="M65" s="95">
        <f>+'PARTE DIC2021'!L91</f>
        <v>0</v>
      </c>
      <c r="N65" s="95">
        <f>+'PARTE DIC2021'!M91</f>
        <v>248</v>
      </c>
      <c r="O65" s="95">
        <f>+'PARTE DIC2021'!N91</f>
        <v>303</v>
      </c>
      <c r="P65" s="95">
        <f>+'PARTE DIC2021'!O91</f>
        <v>23</v>
      </c>
      <c r="Q65" s="1146">
        <f>+'PARTE DIC2021'!P91</f>
        <v>8.2142857142857073E-2</v>
      </c>
      <c r="R65" s="98"/>
    </row>
    <row r="66" spans="1:18" ht="15.75" customHeight="1">
      <c r="A66" s="94" t="str">
        <f t="shared" si="0"/>
        <v>EPM</v>
      </c>
      <c r="B66" s="88" t="e">
        <f t="shared" si="3"/>
        <v>#REF!</v>
      </c>
      <c r="C66" s="95" t="str">
        <f>+'PARTE DIC2021'!D62</f>
        <v>EPMSCTUM Tumaco</v>
      </c>
      <c r="D66" s="95" t="e">
        <f>+'PARTE DIC2021'!#REF!</f>
        <v>#REF!</v>
      </c>
      <c r="E66" s="95" t="e">
        <f>+'PARTE DIC2021'!#REF!</f>
        <v>#REF!</v>
      </c>
      <c r="F66" s="95">
        <f>+'PARTE DIC2021'!E62</f>
        <v>274</v>
      </c>
      <c r="G66" s="95">
        <f>+'PARTE DIC2021'!F62</f>
        <v>388</v>
      </c>
      <c r="H66" s="95">
        <f>+'PARTE DIC2021'!G62</f>
        <v>19</v>
      </c>
      <c r="I66" s="95">
        <f>+'PARTE DIC2021'!H62</f>
        <v>237</v>
      </c>
      <c r="J66" s="95">
        <f>+'PARTE DIC2021'!I62</f>
        <v>16</v>
      </c>
      <c r="K66" s="95">
        <f>+'PARTE DIC2021'!J62</f>
        <v>253</v>
      </c>
      <c r="L66" s="95">
        <f>+'PARTE DIC2021'!K62</f>
        <v>151</v>
      </c>
      <c r="M66" s="95">
        <f>+'PARTE DIC2021'!L62</f>
        <v>3</v>
      </c>
      <c r="N66" s="95">
        <f>+'PARTE DIC2021'!M62</f>
        <v>154</v>
      </c>
      <c r="O66" s="95">
        <f>+'PARTE DIC2021'!N62</f>
        <v>407</v>
      </c>
      <c r="P66" s="95">
        <f>+'PARTE DIC2021'!O62</f>
        <v>133</v>
      </c>
      <c r="Q66" s="1146">
        <f>+'PARTE DIC2021'!P62</f>
        <v>0.48540145985401462</v>
      </c>
      <c r="R66" s="98"/>
    </row>
    <row r="67" spans="1:18" ht="15.75" customHeight="1">
      <c r="A67" s="94" t="str">
        <f t="shared" si="0"/>
        <v>EPM</v>
      </c>
      <c r="B67" s="88" t="e">
        <f t="shared" si="3"/>
        <v>#REF!</v>
      </c>
      <c r="C67" s="95" t="str">
        <f>+'PARTE DIC2021'!D96</f>
        <v>EPMSSGI San Gil</v>
      </c>
      <c r="D67" s="95" t="e">
        <f>+'PARTE DIC2021'!#REF!</f>
        <v>#REF!</v>
      </c>
      <c r="E67" s="95" t="e">
        <f>+'PARTE DIC2021'!#REF!</f>
        <v>#REF!</v>
      </c>
      <c r="F67" s="95">
        <f>+'PARTE DIC2021'!E96</f>
        <v>262</v>
      </c>
      <c r="G67" s="95">
        <f>+'PARTE DIC2021'!F96</f>
        <v>296</v>
      </c>
      <c r="H67" s="95">
        <f>+'PARTE DIC2021'!G96</f>
        <v>0</v>
      </c>
      <c r="I67" s="95">
        <f>+'PARTE DIC2021'!H96</f>
        <v>0</v>
      </c>
      <c r="J67" s="95">
        <f>+'PARTE DIC2021'!I96</f>
        <v>0</v>
      </c>
      <c r="K67" s="95">
        <f>+'PARTE DIC2021'!J96</f>
        <v>0</v>
      </c>
      <c r="L67" s="95">
        <f>+'PARTE DIC2021'!K96</f>
        <v>296</v>
      </c>
      <c r="M67" s="95">
        <f>+'PARTE DIC2021'!L96</f>
        <v>0</v>
      </c>
      <c r="N67" s="95">
        <f>+'PARTE DIC2021'!M96</f>
        <v>296</v>
      </c>
      <c r="O67" s="95">
        <f>+'PARTE DIC2021'!N96</f>
        <v>296</v>
      </c>
      <c r="P67" s="95">
        <f>+'PARTE DIC2021'!O96</f>
        <v>34</v>
      </c>
      <c r="Q67" s="1146">
        <f>+'PARTE DIC2021'!P96</f>
        <v>0.12977099236641232</v>
      </c>
      <c r="R67" s="98"/>
    </row>
    <row r="68" spans="1:18" ht="15.75" customHeight="1">
      <c r="A68" s="94" t="str">
        <f t="shared" si="0"/>
        <v>EPM</v>
      </c>
      <c r="B68" s="88" t="e">
        <f t="shared" si="3"/>
        <v>#REF!</v>
      </c>
      <c r="C68" s="95" t="str">
        <f>+'PARTE DIC2021'!D78</f>
        <v>EPMSCVAL-ERE Valledupar</v>
      </c>
      <c r="D68" s="95" t="e">
        <f>+'PARTE DIC2021'!#REF!</f>
        <v>#REF!</v>
      </c>
      <c r="E68" s="95" t="e">
        <f>+'PARTE DIC2021'!#REF!</f>
        <v>#REF!</v>
      </c>
      <c r="F68" s="95">
        <f>+'PARTE DIC2021'!E78</f>
        <v>256</v>
      </c>
      <c r="G68" s="95">
        <f>+'PARTE DIC2021'!F78</f>
        <v>554</v>
      </c>
      <c r="H68" s="95">
        <f>+'PARTE DIC2021'!G78</f>
        <v>91</v>
      </c>
      <c r="I68" s="95">
        <f>+'PARTE DIC2021'!H78</f>
        <v>205</v>
      </c>
      <c r="J68" s="95">
        <f>+'PARTE DIC2021'!I78</f>
        <v>60</v>
      </c>
      <c r="K68" s="95">
        <f>+'PARTE DIC2021'!J78</f>
        <v>265</v>
      </c>
      <c r="L68" s="95">
        <f>+'PARTE DIC2021'!K78</f>
        <v>349</v>
      </c>
      <c r="M68" s="95">
        <f>+'PARTE DIC2021'!L78</f>
        <v>31</v>
      </c>
      <c r="N68" s="95">
        <f>+'PARTE DIC2021'!M78</f>
        <v>380</v>
      </c>
      <c r="O68" s="95">
        <f>+'PARTE DIC2021'!N78</f>
        <v>645</v>
      </c>
      <c r="P68" s="95">
        <f>+'PARTE DIC2021'!O78</f>
        <v>389</v>
      </c>
      <c r="Q68" s="1146">
        <f>+'PARTE DIC2021'!P78</f>
        <v>1.51953125</v>
      </c>
      <c r="R68" s="98"/>
    </row>
    <row r="69" spans="1:18" ht="15.75" customHeight="1">
      <c r="A69" s="94" t="str">
        <f t="shared" si="0"/>
        <v>CPM</v>
      </c>
      <c r="B69" s="88" t="e">
        <f t="shared" si="3"/>
        <v>#REF!</v>
      </c>
      <c r="C69" s="95" t="str">
        <f>+'PARTE DIC2021'!D100</f>
        <v>CPMSMBUC Bucaramanga</v>
      </c>
      <c r="D69" s="95" t="e">
        <f>+'PARTE DIC2021'!#REF!</f>
        <v>#REF!</v>
      </c>
      <c r="E69" s="95" t="e">
        <f>+'PARTE DIC2021'!#REF!</f>
        <v>#REF!</v>
      </c>
      <c r="F69" s="95">
        <f>+'PARTE DIC2021'!E100</f>
        <v>247</v>
      </c>
      <c r="G69" s="95">
        <f>+'PARTE DIC2021'!F100</f>
        <v>0</v>
      </c>
      <c r="H69" s="95">
        <f>+'PARTE DIC2021'!G100</f>
        <v>232</v>
      </c>
      <c r="I69" s="95">
        <f>+'PARTE DIC2021'!H100</f>
        <v>0</v>
      </c>
      <c r="J69" s="95">
        <f>+'PARTE DIC2021'!I100</f>
        <v>97</v>
      </c>
      <c r="K69" s="95">
        <f>+'PARTE DIC2021'!J100</f>
        <v>97</v>
      </c>
      <c r="L69" s="95">
        <f>+'PARTE DIC2021'!K100</f>
        <v>0</v>
      </c>
      <c r="M69" s="95">
        <f>+'PARTE DIC2021'!L100</f>
        <v>135</v>
      </c>
      <c r="N69" s="95">
        <f>+'PARTE DIC2021'!M100</f>
        <v>135</v>
      </c>
      <c r="O69" s="95">
        <f>+'PARTE DIC2021'!N100</f>
        <v>232</v>
      </c>
      <c r="P69" s="95">
        <f>+'PARTE DIC2021'!O100</f>
        <v>-15</v>
      </c>
      <c r="Q69" s="1146">
        <f>+'PARTE DIC2021'!P100</f>
        <v>-6.0728744939271273E-2</v>
      </c>
      <c r="R69" s="98"/>
    </row>
    <row r="70" spans="1:18" ht="15.75" customHeight="1">
      <c r="A70" s="94" t="str">
        <f t="shared" si="0"/>
        <v>EPM</v>
      </c>
      <c r="B70" s="88" t="e">
        <f>IF(ISBLANK(C70),0,#REF!+1)</f>
        <v>#REF!</v>
      </c>
      <c r="C70" s="95" t="str">
        <f>+'PARTE DIC2021'!D55</f>
        <v>EPMSCSDQ Santander de Quilichao</v>
      </c>
      <c r="D70" s="95" t="e">
        <f>+'PARTE DIC2021'!#REF!</f>
        <v>#REF!</v>
      </c>
      <c r="E70" s="95" t="e">
        <f>+'PARTE DIC2021'!#REF!</f>
        <v>#REF!</v>
      </c>
      <c r="F70" s="95">
        <f>+'PARTE DIC2021'!E55</f>
        <v>230</v>
      </c>
      <c r="G70" s="95">
        <f>+'PARTE DIC2021'!F55</f>
        <v>320</v>
      </c>
      <c r="H70" s="95">
        <f>+'PARTE DIC2021'!G55</f>
        <v>0</v>
      </c>
      <c r="I70" s="95">
        <f>+'PARTE DIC2021'!H55</f>
        <v>140</v>
      </c>
      <c r="J70" s="95">
        <f>+'PARTE DIC2021'!I55</f>
        <v>0</v>
      </c>
      <c r="K70" s="95">
        <f>+'PARTE DIC2021'!J55</f>
        <v>140</v>
      </c>
      <c r="L70" s="95">
        <f>+'PARTE DIC2021'!K55</f>
        <v>180</v>
      </c>
      <c r="M70" s="95">
        <f>+'PARTE DIC2021'!L55</f>
        <v>0</v>
      </c>
      <c r="N70" s="95">
        <f>+'PARTE DIC2021'!M55</f>
        <v>180</v>
      </c>
      <c r="O70" s="95">
        <f>+'PARTE DIC2021'!N55</f>
        <v>320</v>
      </c>
      <c r="P70" s="95">
        <f>+'PARTE DIC2021'!O55</f>
        <v>90</v>
      </c>
      <c r="Q70" s="1146">
        <f>+'PARTE DIC2021'!P55</f>
        <v>0.39130434782608692</v>
      </c>
      <c r="R70" s="98"/>
    </row>
    <row r="71" spans="1:18" ht="15.75" customHeight="1">
      <c r="A71" s="94" t="str">
        <f t="shared" si="0"/>
        <v>EPM</v>
      </c>
      <c r="B71" s="88" t="e">
        <f t="shared" ref="B71:B102" si="4">IF(ISBLANK(C71),0,B70+1)</f>
        <v>#REF!</v>
      </c>
      <c r="C71" s="95" t="str">
        <f>+'PARTE DIC2021'!D89</f>
        <v>EPMSCARA Arauca</v>
      </c>
      <c r="D71" s="95" t="e">
        <f>+'PARTE DIC2021'!#REF!</f>
        <v>#REF!</v>
      </c>
      <c r="E71" s="95" t="e">
        <f>+'PARTE DIC2021'!#REF!</f>
        <v>#REF!</v>
      </c>
      <c r="F71" s="95">
        <f>+'PARTE DIC2021'!E89</f>
        <v>212</v>
      </c>
      <c r="G71" s="95">
        <f>+'PARTE DIC2021'!F89</f>
        <v>297</v>
      </c>
      <c r="H71" s="95">
        <f>+'PARTE DIC2021'!G89</f>
        <v>37</v>
      </c>
      <c r="I71" s="95">
        <f>+'PARTE DIC2021'!H89</f>
        <v>157</v>
      </c>
      <c r="J71" s="95">
        <f>+'PARTE DIC2021'!I89</f>
        <v>26</v>
      </c>
      <c r="K71" s="95">
        <f>+'PARTE DIC2021'!J89</f>
        <v>183</v>
      </c>
      <c r="L71" s="95">
        <f>+'PARTE DIC2021'!K89</f>
        <v>140</v>
      </c>
      <c r="M71" s="95">
        <f>+'PARTE DIC2021'!L89</f>
        <v>11</v>
      </c>
      <c r="N71" s="95">
        <f>+'PARTE DIC2021'!M89</f>
        <v>151</v>
      </c>
      <c r="O71" s="95">
        <f>+'PARTE DIC2021'!N89</f>
        <v>334</v>
      </c>
      <c r="P71" s="95">
        <f>+'PARTE DIC2021'!O89</f>
        <v>122</v>
      </c>
      <c r="Q71" s="1146">
        <f>+'PARTE DIC2021'!P89</f>
        <v>0.57547169811320753</v>
      </c>
      <c r="R71" s="98"/>
    </row>
    <row r="72" spans="1:18" ht="15.75" customHeight="1">
      <c r="A72" s="94" t="str">
        <f t="shared" si="0"/>
        <v>EPM</v>
      </c>
      <c r="B72" s="88" t="e">
        <f t="shared" si="4"/>
        <v>#REF!</v>
      </c>
      <c r="C72" s="95" t="str">
        <f>+'PARTE DIC2021'!D138</f>
        <v>EPMSCHON Honda</v>
      </c>
      <c r="D72" s="95" t="e">
        <f>+'PARTE DIC2021'!#REF!</f>
        <v>#REF!</v>
      </c>
      <c r="E72" s="95" t="e">
        <f>+'PARTE DIC2021'!#REF!</f>
        <v>#REF!</v>
      </c>
      <c r="F72" s="95">
        <f>+'PARTE DIC2021'!E138</f>
        <v>208</v>
      </c>
      <c r="G72" s="95">
        <f>+'PARTE DIC2021'!F138</f>
        <v>313</v>
      </c>
      <c r="H72" s="95">
        <f>+'PARTE DIC2021'!G138</f>
        <v>0</v>
      </c>
      <c r="I72" s="95">
        <f>+'PARTE DIC2021'!H138</f>
        <v>128</v>
      </c>
      <c r="J72" s="95">
        <f>+'PARTE DIC2021'!I138</f>
        <v>0</v>
      </c>
      <c r="K72" s="95">
        <f>+'PARTE DIC2021'!J138</f>
        <v>128</v>
      </c>
      <c r="L72" s="95">
        <f>+'PARTE DIC2021'!K138</f>
        <v>185</v>
      </c>
      <c r="M72" s="95">
        <f>+'PARTE DIC2021'!L138</f>
        <v>0</v>
      </c>
      <c r="N72" s="95">
        <f>+'PARTE DIC2021'!M138</f>
        <v>185</v>
      </c>
      <c r="O72" s="95">
        <f>+'PARTE DIC2021'!N138</f>
        <v>313</v>
      </c>
      <c r="P72" s="95">
        <f>+'PARTE DIC2021'!O138</f>
        <v>105</v>
      </c>
      <c r="Q72" s="1146">
        <f>+'PARTE DIC2021'!P138</f>
        <v>0.50480769230769229</v>
      </c>
      <c r="R72" s="98"/>
    </row>
    <row r="73" spans="1:18" ht="15.75" customHeight="1">
      <c r="A73" s="94" t="str">
        <f t="shared" si="0"/>
        <v>EPC</v>
      </c>
      <c r="B73" s="88" t="e">
        <f t="shared" si="4"/>
        <v>#REF!</v>
      </c>
      <c r="C73" s="95" t="str">
        <f>+'PARTE DIC2021'!D88</f>
        <v>EPCTALT Tierralta</v>
      </c>
      <c r="D73" s="95" t="e">
        <f>+'PARTE DIC2021'!#REF!</f>
        <v>#REF!</v>
      </c>
      <c r="E73" s="95" t="e">
        <f>+'PARTE DIC2021'!#REF!</f>
        <v>#REF!</v>
      </c>
      <c r="F73" s="95">
        <f>+'PARTE DIC2021'!E88</f>
        <v>203</v>
      </c>
      <c r="G73" s="95">
        <f>+'PARTE DIC2021'!F88</f>
        <v>149</v>
      </c>
      <c r="H73" s="95">
        <f>+'PARTE DIC2021'!G88</f>
        <v>0</v>
      </c>
      <c r="I73" s="95">
        <f>+'PARTE DIC2021'!H88</f>
        <v>4</v>
      </c>
      <c r="J73" s="95">
        <f>+'PARTE DIC2021'!I88</f>
        <v>0</v>
      </c>
      <c r="K73" s="95">
        <f>+'PARTE DIC2021'!J88</f>
        <v>4</v>
      </c>
      <c r="L73" s="95">
        <f>+'PARTE DIC2021'!K88</f>
        <v>145</v>
      </c>
      <c r="M73" s="95">
        <f>+'PARTE DIC2021'!L88</f>
        <v>0</v>
      </c>
      <c r="N73" s="95">
        <f>+'PARTE DIC2021'!M88</f>
        <v>145</v>
      </c>
      <c r="O73" s="95">
        <f>+'PARTE DIC2021'!N88</f>
        <v>149</v>
      </c>
      <c r="P73" s="95">
        <f>+'PARTE DIC2021'!O88</f>
        <v>-54</v>
      </c>
      <c r="Q73" s="1146">
        <f>+'PARTE DIC2021'!P88</f>
        <v>-0.26600985221674878</v>
      </c>
      <c r="R73" s="98"/>
    </row>
    <row r="74" spans="1:18" ht="15.75" customHeight="1">
      <c r="A74" s="94" t="str">
        <f t="shared" si="0"/>
        <v>EPM</v>
      </c>
      <c r="B74" s="88" t="e">
        <f t="shared" si="4"/>
        <v>#REF!</v>
      </c>
      <c r="C74" s="95" t="str">
        <f>+'PARTE DIC2021'!D92</f>
        <v>EPMSCOC Ocaña</v>
      </c>
      <c r="D74" s="95" t="e">
        <f>+'PARTE DIC2021'!#REF!</f>
        <v>#REF!</v>
      </c>
      <c r="E74" s="95" t="e">
        <f>+'PARTE DIC2021'!#REF!</f>
        <v>#REF!</v>
      </c>
      <c r="F74" s="95">
        <f>+'PARTE DIC2021'!E92</f>
        <v>198</v>
      </c>
      <c r="G74" s="95">
        <f>+'PARTE DIC2021'!F92</f>
        <v>350</v>
      </c>
      <c r="H74" s="95">
        <f>+'PARTE DIC2021'!G92</f>
        <v>15</v>
      </c>
      <c r="I74" s="95">
        <f>+'PARTE DIC2021'!H92</f>
        <v>192</v>
      </c>
      <c r="J74" s="95">
        <f>+'PARTE DIC2021'!I92</f>
        <v>10</v>
      </c>
      <c r="K74" s="95">
        <f>+'PARTE DIC2021'!J92</f>
        <v>202</v>
      </c>
      <c r="L74" s="95">
        <f>+'PARTE DIC2021'!K92</f>
        <v>158</v>
      </c>
      <c r="M74" s="95">
        <f>+'PARTE DIC2021'!L92</f>
        <v>5</v>
      </c>
      <c r="N74" s="95">
        <f>+'PARTE DIC2021'!M92</f>
        <v>163</v>
      </c>
      <c r="O74" s="95">
        <f>+'PARTE DIC2021'!N92</f>
        <v>365</v>
      </c>
      <c r="P74" s="95">
        <f>+'PARTE DIC2021'!O92</f>
        <v>167</v>
      </c>
      <c r="Q74" s="1146">
        <f>+'PARTE DIC2021'!P92</f>
        <v>0.84343434343434343</v>
      </c>
      <c r="R74" s="98"/>
    </row>
    <row r="75" spans="1:18" ht="15.75" customHeight="1">
      <c r="A75" s="94" t="str">
        <f t="shared" si="0"/>
        <v>EPM</v>
      </c>
      <c r="B75" s="88" t="e">
        <f t="shared" si="4"/>
        <v>#REF!</v>
      </c>
      <c r="C75" s="95" t="str">
        <f>+'PARTE DIC2021'!D99</f>
        <v>EPMSCVEL Vélez</v>
      </c>
      <c r="D75" s="95" t="e">
        <f>+'PARTE DIC2021'!#REF!</f>
        <v>#REF!</v>
      </c>
      <c r="E75" s="95" t="e">
        <f>+'PARTE DIC2021'!#REF!</f>
        <v>#REF!</v>
      </c>
      <c r="F75" s="95">
        <f>+'PARTE DIC2021'!E99</f>
        <v>192</v>
      </c>
      <c r="G75" s="95">
        <f>+'PARTE DIC2021'!F99</f>
        <v>253</v>
      </c>
      <c r="H75" s="95">
        <f>+'PARTE DIC2021'!G99</f>
        <v>0</v>
      </c>
      <c r="I75" s="95">
        <f>+'PARTE DIC2021'!H99</f>
        <v>88</v>
      </c>
      <c r="J75" s="95">
        <f>+'PARTE DIC2021'!I99</f>
        <v>0</v>
      </c>
      <c r="K75" s="95">
        <f>+'PARTE DIC2021'!J99</f>
        <v>88</v>
      </c>
      <c r="L75" s="95">
        <f>+'PARTE DIC2021'!K99</f>
        <v>165</v>
      </c>
      <c r="M75" s="95">
        <f>+'PARTE DIC2021'!L99</f>
        <v>0</v>
      </c>
      <c r="N75" s="95">
        <f>+'PARTE DIC2021'!M99</f>
        <v>165</v>
      </c>
      <c r="O75" s="95">
        <f>+'PARTE DIC2021'!N99</f>
        <v>253</v>
      </c>
      <c r="P75" s="95">
        <f>+'PARTE DIC2021'!O99</f>
        <v>61</v>
      </c>
      <c r="Q75" s="1146">
        <f>+'PARTE DIC2021'!P99</f>
        <v>0.31770833333333326</v>
      </c>
      <c r="R75" s="98"/>
    </row>
    <row r="76" spans="1:18" ht="15.75" customHeight="1">
      <c r="A76" s="94" t="str">
        <f t="shared" si="0"/>
        <v>EPM</v>
      </c>
      <c r="B76" s="88" t="e">
        <f t="shared" si="4"/>
        <v>#REF!</v>
      </c>
      <c r="C76" s="95" t="str">
        <f>+'PARTE DIC2021'!D116</f>
        <v>EPMSCYAR Yarumal</v>
      </c>
      <c r="D76" s="95" t="e">
        <f>+'PARTE DIC2021'!#REF!</f>
        <v>#REF!</v>
      </c>
      <c r="E76" s="95" t="e">
        <f>+'PARTE DIC2021'!#REF!</f>
        <v>#REF!</v>
      </c>
      <c r="F76" s="95">
        <f>+'PARTE DIC2021'!E116</f>
        <v>191</v>
      </c>
      <c r="G76" s="95">
        <f>+'PARTE DIC2021'!F116</f>
        <v>196</v>
      </c>
      <c r="H76" s="95">
        <f>+'PARTE DIC2021'!G116</f>
        <v>0</v>
      </c>
      <c r="I76" s="95">
        <f>+'PARTE DIC2021'!H116</f>
        <v>23</v>
      </c>
      <c r="J76" s="95">
        <f>+'PARTE DIC2021'!I116</f>
        <v>0</v>
      </c>
      <c r="K76" s="95">
        <f>+'PARTE DIC2021'!J116</f>
        <v>23</v>
      </c>
      <c r="L76" s="95">
        <f>+'PARTE DIC2021'!K116</f>
        <v>173</v>
      </c>
      <c r="M76" s="95">
        <f>+'PARTE DIC2021'!L116</f>
        <v>0</v>
      </c>
      <c r="N76" s="95">
        <f>+'PARTE DIC2021'!M116</f>
        <v>173</v>
      </c>
      <c r="O76" s="95">
        <f>+'PARTE DIC2021'!N116</f>
        <v>196</v>
      </c>
      <c r="P76" s="95">
        <f>+'PARTE DIC2021'!O116</f>
        <v>5</v>
      </c>
      <c r="Q76" s="1146">
        <f>+'PARTE DIC2021'!P116</f>
        <v>2.6178010471204161E-2</v>
      </c>
      <c r="R76" s="98"/>
    </row>
    <row r="77" spans="1:18" ht="15.75" customHeight="1">
      <c r="A77" s="94" t="str">
        <f t="shared" si="0"/>
        <v>EPM</v>
      </c>
      <c r="B77" s="88" t="e">
        <f t="shared" si="4"/>
        <v>#REF!</v>
      </c>
      <c r="C77" s="95" t="str">
        <f>+'PARTE DIC2021'!D52</f>
        <v>EPMSCBOL Bolívar Cauca</v>
      </c>
      <c r="D77" s="95" t="e">
        <f>+'PARTE DIC2021'!#REF!</f>
        <v>#REF!</v>
      </c>
      <c r="E77" s="95" t="e">
        <f>+'PARTE DIC2021'!#REF!</f>
        <v>#REF!</v>
      </c>
      <c r="F77" s="95">
        <f>+'PARTE DIC2021'!E52</f>
        <v>186</v>
      </c>
      <c r="G77" s="95">
        <f>+'PARTE DIC2021'!F52</f>
        <v>155</v>
      </c>
      <c r="H77" s="95">
        <f>+'PARTE DIC2021'!G52</f>
        <v>0</v>
      </c>
      <c r="I77" s="95">
        <f>+'PARTE DIC2021'!H52</f>
        <v>70</v>
      </c>
      <c r="J77" s="95">
        <f>+'PARTE DIC2021'!I52</f>
        <v>0</v>
      </c>
      <c r="K77" s="95">
        <f>+'PARTE DIC2021'!J52</f>
        <v>70</v>
      </c>
      <c r="L77" s="95">
        <f>+'PARTE DIC2021'!K52</f>
        <v>85</v>
      </c>
      <c r="M77" s="95">
        <f>+'PARTE DIC2021'!L52</f>
        <v>0</v>
      </c>
      <c r="N77" s="95">
        <f>+'PARTE DIC2021'!M52</f>
        <v>85</v>
      </c>
      <c r="O77" s="95">
        <f>+'PARTE DIC2021'!N52</f>
        <v>155</v>
      </c>
      <c r="P77" s="95">
        <f>+'PARTE DIC2021'!O52</f>
        <v>-31</v>
      </c>
      <c r="Q77" s="1146">
        <f>+'PARTE DIC2021'!P52</f>
        <v>-0.16666666666666663</v>
      </c>
      <c r="R77" s="98"/>
    </row>
    <row r="78" spans="1:18" ht="15.75" customHeight="1">
      <c r="A78" s="94" t="str">
        <f t="shared" si="0"/>
        <v>EPM</v>
      </c>
      <c r="B78" s="88" t="e">
        <f t="shared" si="4"/>
        <v>#REF!</v>
      </c>
      <c r="C78" s="95" t="str">
        <f>+'PARTE DIC2021'!D94</f>
        <v>EPMSCBBJ Barrancabermeja</v>
      </c>
      <c r="D78" s="95" t="e">
        <f>+'PARTE DIC2021'!#REF!</f>
        <v>#REF!</v>
      </c>
      <c r="E78" s="95" t="e">
        <f>+'PARTE DIC2021'!#REF!</f>
        <v>#REF!</v>
      </c>
      <c r="F78" s="95">
        <f>+'PARTE DIC2021'!E94</f>
        <v>185</v>
      </c>
      <c r="G78" s="95">
        <f>+'PARTE DIC2021'!F94</f>
        <v>203</v>
      </c>
      <c r="H78" s="95">
        <f>+'PARTE DIC2021'!G94</f>
        <v>0</v>
      </c>
      <c r="I78" s="95">
        <f>+'PARTE DIC2021'!H94</f>
        <v>30</v>
      </c>
      <c r="J78" s="95">
        <f>+'PARTE DIC2021'!I94</f>
        <v>0</v>
      </c>
      <c r="K78" s="95">
        <f>+'PARTE DIC2021'!J94</f>
        <v>30</v>
      </c>
      <c r="L78" s="95">
        <f>+'PARTE DIC2021'!K94</f>
        <v>173</v>
      </c>
      <c r="M78" s="95">
        <f>+'PARTE DIC2021'!L94</f>
        <v>0</v>
      </c>
      <c r="N78" s="95">
        <f>+'PARTE DIC2021'!M94</f>
        <v>173</v>
      </c>
      <c r="O78" s="95">
        <f>+'PARTE DIC2021'!N94</f>
        <v>203</v>
      </c>
      <c r="P78" s="95">
        <f>+'PARTE DIC2021'!O94</f>
        <v>18</v>
      </c>
      <c r="Q78" s="1146">
        <f>+'PARTE DIC2021'!P94</f>
        <v>9.7297297297297192E-2</v>
      </c>
      <c r="R78" s="98"/>
    </row>
    <row r="79" spans="1:18" ht="15.75" customHeight="1">
      <c r="A79" s="94" t="str">
        <f t="shared" si="0"/>
        <v>CPM</v>
      </c>
      <c r="B79" s="88" t="e">
        <f t="shared" si="4"/>
        <v>#REF!</v>
      </c>
      <c r="C79" s="95" t="str">
        <f>+'PARTE DIC2021'!D51</f>
        <v>CPMMSFFA Facatativá</v>
      </c>
      <c r="D79" s="95" t="e">
        <f>+'PARTE DIC2021'!#REF!</f>
        <v>#REF!</v>
      </c>
      <c r="E79" s="95" t="e">
        <f>+'PARTE DIC2021'!#REF!</f>
        <v>#REF!</v>
      </c>
      <c r="F79" s="95">
        <f>+'PARTE DIC2021'!E51</f>
        <v>180</v>
      </c>
      <c r="G79" s="95">
        <f>+'PARTE DIC2021'!F51</f>
        <v>84</v>
      </c>
      <c r="H79" s="95">
        <f>+'PARTE DIC2021'!G51</f>
        <v>0</v>
      </c>
      <c r="I79" s="95">
        <f>+'PARTE DIC2021'!H51</f>
        <v>26</v>
      </c>
      <c r="J79" s="95">
        <f>+'PARTE DIC2021'!I51</f>
        <v>0</v>
      </c>
      <c r="K79" s="95">
        <f>+'PARTE DIC2021'!J51</f>
        <v>26</v>
      </c>
      <c r="L79" s="95">
        <f>+'PARTE DIC2021'!K51</f>
        <v>58</v>
      </c>
      <c r="M79" s="95">
        <f>+'PARTE DIC2021'!L51</f>
        <v>0</v>
      </c>
      <c r="N79" s="95">
        <f>+'PARTE DIC2021'!M51</f>
        <v>58</v>
      </c>
      <c r="O79" s="95">
        <f>+'PARTE DIC2021'!N51</f>
        <v>84</v>
      </c>
      <c r="P79" s="95">
        <f>+'PARTE DIC2021'!O51</f>
        <v>-96</v>
      </c>
      <c r="Q79" s="1146">
        <f>+'PARTE DIC2021'!P51</f>
        <v>-0.53333333333333333</v>
      </c>
      <c r="R79" s="98"/>
    </row>
    <row r="80" spans="1:18" ht="15.75" customHeight="1">
      <c r="A80" s="94" t="str">
        <f t="shared" si="0"/>
        <v>EPM</v>
      </c>
      <c r="B80" s="88" t="e">
        <f t="shared" si="4"/>
        <v>#REF!</v>
      </c>
      <c r="C80" s="95" t="str">
        <f>+'PARTE DIC2021'!D134</f>
        <v>EPMSCSRC Santa Rosa de Cabal</v>
      </c>
      <c r="D80" s="95" t="e">
        <f>+'PARTE DIC2021'!#REF!</f>
        <v>#REF!</v>
      </c>
      <c r="E80" s="95" t="e">
        <f>+'PARTE DIC2021'!#REF!</f>
        <v>#REF!</v>
      </c>
      <c r="F80" s="95">
        <f>+'PARTE DIC2021'!E134</f>
        <v>178</v>
      </c>
      <c r="G80" s="95">
        <f>+'PARTE DIC2021'!F134</f>
        <v>232</v>
      </c>
      <c r="H80" s="95">
        <f>+'PARTE DIC2021'!G134</f>
        <v>0</v>
      </c>
      <c r="I80" s="95">
        <f>+'PARTE DIC2021'!H134</f>
        <v>70</v>
      </c>
      <c r="J80" s="95">
        <f>+'PARTE DIC2021'!I134</f>
        <v>0</v>
      </c>
      <c r="K80" s="95">
        <f>+'PARTE DIC2021'!J134</f>
        <v>70</v>
      </c>
      <c r="L80" s="95">
        <f>+'PARTE DIC2021'!K134</f>
        <v>162</v>
      </c>
      <c r="M80" s="95">
        <f>+'PARTE DIC2021'!L134</f>
        <v>0</v>
      </c>
      <c r="N80" s="95">
        <f>+'PARTE DIC2021'!M134</f>
        <v>162</v>
      </c>
      <c r="O80" s="95">
        <f>+'PARTE DIC2021'!N134</f>
        <v>232</v>
      </c>
      <c r="P80" s="95">
        <f>+'PARTE DIC2021'!O134</f>
        <v>54</v>
      </c>
      <c r="Q80" s="1146">
        <f>+'PARTE DIC2021'!P134</f>
        <v>0.30337078651685401</v>
      </c>
      <c r="R80" s="98"/>
    </row>
    <row r="81" spans="1:18" ht="15.75" customHeight="1">
      <c r="A81" s="94" t="str">
        <f t="shared" si="0"/>
        <v>EPM</v>
      </c>
      <c r="B81" s="88" t="e">
        <f t="shared" si="4"/>
        <v>#REF!</v>
      </c>
      <c r="C81" s="95" t="str">
        <f>+'PARTE DIC2021'!D40</f>
        <v>EPMSCCHA Chaparral</v>
      </c>
      <c r="D81" s="95" t="e">
        <f>+'PARTE DIC2021'!#REF!</f>
        <v>#REF!</v>
      </c>
      <c r="E81" s="95" t="e">
        <f>+'PARTE DIC2021'!#REF!</f>
        <v>#REF!</v>
      </c>
      <c r="F81" s="95">
        <f>+'PARTE DIC2021'!E40</f>
        <v>169</v>
      </c>
      <c r="G81" s="95">
        <f>+'PARTE DIC2021'!F40</f>
        <v>230</v>
      </c>
      <c r="H81" s="95">
        <f>+'PARTE DIC2021'!G40</f>
        <v>0</v>
      </c>
      <c r="I81" s="95">
        <f>+'PARTE DIC2021'!H40</f>
        <v>69</v>
      </c>
      <c r="J81" s="95">
        <f>+'PARTE DIC2021'!I40</f>
        <v>0</v>
      </c>
      <c r="K81" s="95">
        <f>+'PARTE DIC2021'!J40</f>
        <v>69</v>
      </c>
      <c r="L81" s="95">
        <f>+'PARTE DIC2021'!K40</f>
        <v>161</v>
      </c>
      <c r="M81" s="95">
        <f>+'PARTE DIC2021'!L40</f>
        <v>0</v>
      </c>
      <c r="N81" s="95">
        <f>+'PARTE DIC2021'!M40</f>
        <v>161</v>
      </c>
      <c r="O81" s="95">
        <f>+'PARTE DIC2021'!N40</f>
        <v>230</v>
      </c>
      <c r="P81" s="95">
        <f>+'PARTE DIC2021'!O40</f>
        <v>61</v>
      </c>
      <c r="Q81" s="1146">
        <f>+'PARTE DIC2021'!P40</f>
        <v>0.36094674556213024</v>
      </c>
      <c r="R81" s="98"/>
    </row>
    <row r="82" spans="1:18" ht="15.75" customHeight="1">
      <c r="A82" s="94" t="str">
        <f t="shared" si="0"/>
        <v>EPM</v>
      </c>
      <c r="B82" s="88" t="e">
        <f t="shared" si="4"/>
        <v>#REF!</v>
      </c>
      <c r="C82" s="95" t="str">
        <f>+'PARTE DIC2021'!D105</f>
        <v>EPMSCAND Andes</v>
      </c>
      <c r="D82" s="95" t="e">
        <f>+'PARTE DIC2021'!#REF!</f>
        <v>#REF!</v>
      </c>
      <c r="E82" s="95" t="e">
        <f>+'PARTE DIC2021'!#REF!</f>
        <v>#REF!</v>
      </c>
      <c r="F82" s="95">
        <f>+'PARTE DIC2021'!E105</f>
        <v>168</v>
      </c>
      <c r="G82" s="95">
        <f>+'PARTE DIC2021'!F105</f>
        <v>402</v>
      </c>
      <c r="H82" s="95">
        <f>+'PARTE DIC2021'!G105</f>
        <v>0</v>
      </c>
      <c r="I82" s="95">
        <f>+'PARTE DIC2021'!H105</f>
        <v>41</v>
      </c>
      <c r="J82" s="95">
        <f>+'PARTE DIC2021'!I105</f>
        <v>0</v>
      </c>
      <c r="K82" s="95">
        <f>+'PARTE DIC2021'!J105</f>
        <v>41</v>
      </c>
      <c r="L82" s="95">
        <f>+'PARTE DIC2021'!K105</f>
        <v>361</v>
      </c>
      <c r="M82" s="95">
        <f>+'PARTE DIC2021'!L105</f>
        <v>0</v>
      </c>
      <c r="N82" s="95">
        <f>+'PARTE DIC2021'!M105</f>
        <v>361</v>
      </c>
      <c r="O82" s="95">
        <f>+'PARTE DIC2021'!N105</f>
        <v>402</v>
      </c>
      <c r="P82" s="95">
        <f>+'PARTE DIC2021'!O105</f>
        <v>234</v>
      </c>
      <c r="Q82" s="1146">
        <f>+'PARTE DIC2021'!P105</f>
        <v>1.3928571428571428</v>
      </c>
      <c r="R82" s="98"/>
    </row>
    <row r="83" spans="1:18" ht="15.75" customHeight="1">
      <c r="A83" s="94" t="str">
        <f t="shared" si="0"/>
        <v>EPM</v>
      </c>
      <c r="B83" s="88" t="e">
        <f t="shared" si="4"/>
        <v>#REF!</v>
      </c>
      <c r="C83" s="95" t="str">
        <f>+'PARTE DIC2021'!D128</f>
        <v>EPMSCSAL Salamina</v>
      </c>
      <c r="D83" s="95" t="e">
        <f>+'PARTE DIC2021'!#REF!</f>
        <v>#REF!</v>
      </c>
      <c r="E83" s="95" t="e">
        <f>+'PARTE DIC2021'!#REF!</f>
        <v>#REF!</v>
      </c>
      <c r="F83" s="95">
        <f>+'PARTE DIC2021'!E128</f>
        <v>166</v>
      </c>
      <c r="G83" s="95">
        <f>+'PARTE DIC2021'!F128</f>
        <v>199</v>
      </c>
      <c r="H83" s="95">
        <f>+'PARTE DIC2021'!G128</f>
        <v>0</v>
      </c>
      <c r="I83" s="95">
        <f>+'PARTE DIC2021'!H128</f>
        <v>54</v>
      </c>
      <c r="J83" s="95">
        <f>+'PARTE DIC2021'!I128</f>
        <v>0</v>
      </c>
      <c r="K83" s="95">
        <f>+'PARTE DIC2021'!J128</f>
        <v>54</v>
      </c>
      <c r="L83" s="95">
        <f>+'PARTE DIC2021'!K128</f>
        <v>145</v>
      </c>
      <c r="M83" s="95">
        <f>+'PARTE DIC2021'!L128</f>
        <v>0</v>
      </c>
      <c r="N83" s="95">
        <f>+'PARTE DIC2021'!M128</f>
        <v>145</v>
      </c>
      <c r="O83" s="95">
        <f>+'PARTE DIC2021'!N128</f>
        <v>199</v>
      </c>
      <c r="P83" s="95">
        <f>+'PARTE DIC2021'!O128</f>
        <v>33</v>
      </c>
      <c r="Q83" s="1146">
        <f>+'PARTE DIC2021'!P128</f>
        <v>0.1987951807228916</v>
      </c>
      <c r="R83" s="98"/>
    </row>
    <row r="84" spans="1:18" ht="15.75" customHeight="1">
      <c r="A84" s="94" t="str">
        <f t="shared" si="0"/>
        <v>RMA</v>
      </c>
      <c r="B84" s="88" t="e">
        <f t="shared" si="4"/>
        <v>#REF!</v>
      </c>
      <c r="C84" s="95" t="str">
        <f>+'PARTE DIC2021'!D132</f>
        <v>RMARM Armenia</v>
      </c>
      <c r="D84" s="95" t="e">
        <f>+'PARTE DIC2021'!#REF!</f>
        <v>#REF!</v>
      </c>
      <c r="E84" s="95" t="e">
        <f>+'PARTE DIC2021'!#REF!</f>
        <v>#REF!</v>
      </c>
      <c r="F84" s="95">
        <f>+'PARTE DIC2021'!E132</f>
        <v>156</v>
      </c>
      <c r="G84" s="95">
        <f>+'PARTE DIC2021'!F132</f>
        <v>0</v>
      </c>
      <c r="H84" s="95">
        <f>+'PARTE DIC2021'!G132</f>
        <v>184</v>
      </c>
      <c r="I84" s="95">
        <f>+'PARTE DIC2021'!H132</f>
        <v>0</v>
      </c>
      <c r="J84" s="95">
        <f>+'PARTE DIC2021'!I132</f>
        <v>40</v>
      </c>
      <c r="K84" s="95">
        <f>+'PARTE DIC2021'!J132</f>
        <v>40</v>
      </c>
      <c r="L84" s="95">
        <f>+'PARTE DIC2021'!K132</f>
        <v>0</v>
      </c>
      <c r="M84" s="95">
        <f>+'PARTE DIC2021'!L132</f>
        <v>144</v>
      </c>
      <c r="N84" s="95">
        <f>+'PARTE DIC2021'!M132</f>
        <v>144</v>
      </c>
      <c r="O84" s="95">
        <f>+'PARTE DIC2021'!N132</f>
        <v>184</v>
      </c>
      <c r="P84" s="95">
        <f>+'PARTE DIC2021'!O132</f>
        <v>28</v>
      </c>
      <c r="Q84" s="1146">
        <f>+'PARTE DIC2021'!P132</f>
        <v>0.17948717948717952</v>
      </c>
      <c r="R84" s="98"/>
    </row>
    <row r="85" spans="1:18" ht="15.75" customHeight="1">
      <c r="A85" s="94" t="str">
        <f t="shared" si="0"/>
        <v>CPM</v>
      </c>
      <c r="B85" s="88" t="e">
        <f t="shared" si="4"/>
        <v>#REF!</v>
      </c>
      <c r="C85" s="95" t="str">
        <f>+'PARTE DIC2021'!D23</f>
        <v>CPMSFUS - CAM Fusagasugá</v>
      </c>
      <c r="D85" s="95" t="e">
        <f>+'PARTE DIC2021'!#REF!</f>
        <v>#REF!</v>
      </c>
      <c r="E85" s="95" t="e">
        <f>+'PARTE DIC2021'!#REF!</f>
        <v>#REF!</v>
      </c>
      <c r="F85" s="95">
        <f>+'PARTE DIC2021'!E23</f>
        <v>153</v>
      </c>
      <c r="G85" s="95">
        <f>+'PARTE DIC2021'!F23</f>
        <v>221</v>
      </c>
      <c r="H85" s="95">
        <f>+'PARTE DIC2021'!G23</f>
        <v>0</v>
      </c>
      <c r="I85" s="95">
        <f>+'PARTE DIC2021'!H23</f>
        <v>46</v>
      </c>
      <c r="J85" s="95">
        <f>+'PARTE DIC2021'!I23</f>
        <v>0</v>
      </c>
      <c r="K85" s="95">
        <f>+'PARTE DIC2021'!J23</f>
        <v>46</v>
      </c>
      <c r="L85" s="95">
        <f>+'PARTE DIC2021'!K23</f>
        <v>175</v>
      </c>
      <c r="M85" s="95">
        <f>+'PARTE DIC2021'!L23</f>
        <v>0</v>
      </c>
      <c r="N85" s="95">
        <f>+'PARTE DIC2021'!M23</f>
        <v>175</v>
      </c>
      <c r="O85" s="95">
        <f>+'PARTE DIC2021'!N23</f>
        <v>221</v>
      </c>
      <c r="P85" s="95">
        <f>+'PARTE DIC2021'!O23</f>
        <v>68</v>
      </c>
      <c r="Q85" s="1146">
        <f>+'PARTE DIC2021'!P23</f>
        <v>0.44444444444444442</v>
      </c>
      <c r="R85" s="98"/>
    </row>
    <row r="86" spans="1:18" ht="15.75" customHeight="1">
      <c r="A86" s="94" t="str">
        <f t="shared" si="0"/>
        <v>EPM</v>
      </c>
      <c r="B86" s="88" t="e">
        <f t="shared" si="4"/>
        <v>#REF!</v>
      </c>
      <c r="C86" s="95" t="str">
        <f>+'PARTE DIC2021'!D28</f>
        <v>EPMSCZIP Zipaquirá</v>
      </c>
      <c r="D86" s="95" t="e">
        <f>+'PARTE DIC2021'!#REF!</f>
        <v>#REF!</v>
      </c>
      <c r="E86" s="95" t="e">
        <f>+'PARTE DIC2021'!#REF!</f>
        <v>#REF!</v>
      </c>
      <c r="F86" s="95">
        <f>+'PARTE DIC2021'!E28</f>
        <v>152</v>
      </c>
      <c r="G86" s="95">
        <f>+'PARTE DIC2021'!F28</f>
        <v>165</v>
      </c>
      <c r="H86" s="95">
        <f>+'PARTE DIC2021'!G28</f>
        <v>0</v>
      </c>
      <c r="I86" s="95">
        <f>+'PARTE DIC2021'!H28</f>
        <v>67</v>
      </c>
      <c r="J86" s="95">
        <f>+'PARTE DIC2021'!I28</f>
        <v>0</v>
      </c>
      <c r="K86" s="95">
        <f>+'PARTE DIC2021'!J28</f>
        <v>67</v>
      </c>
      <c r="L86" s="95">
        <f>+'PARTE DIC2021'!K28</f>
        <v>98</v>
      </c>
      <c r="M86" s="95">
        <f>+'PARTE DIC2021'!L28</f>
        <v>0</v>
      </c>
      <c r="N86" s="95">
        <f>+'PARTE DIC2021'!M28</f>
        <v>98</v>
      </c>
      <c r="O86" s="95">
        <f>+'PARTE DIC2021'!N28</f>
        <v>165</v>
      </c>
      <c r="P86" s="95">
        <f>+'PARTE DIC2021'!O28</f>
        <v>13</v>
      </c>
      <c r="Q86" s="1146">
        <f>+'PARTE DIC2021'!P28</f>
        <v>8.5526315789473673E-2</v>
      </c>
      <c r="R86" s="98"/>
    </row>
    <row r="87" spans="1:18" ht="15.75" customHeight="1">
      <c r="A87" s="94" t="str">
        <f t="shared" si="0"/>
        <v>EPM</v>
      </c>
      <c r="B87" s="88" t="e">
        <f t="shared" si="4"/>
        <v>#REF!</v>
      </c>
      <c r="C87" s="95" t="str">
        <f>+'PARTE DIC2021'!D110</f>
        <v>EPMSCPBE Puerto Berrio</v>
      </c>
      <c r="D87" s="95" t="e">
        <f>+'PARTE DIC2021'!#REF!</f>
        <v>#REF!</v>
      </c>
      <c r="E87" s="95" t="e">
        <f>+'PARTE DIC2021'!#REF!</f>
        <v>#REF!</v>
      </c>
      <c r="F87" s="95">
        <f>+'PARTE DIC2021'!E110</f>
        <v>150</v>
      </c>
      <c r="G87" s="95">
        <f>+'PARTE DIC2021'!F110</f>
        <v>254</v>
      </c>
      <c r="H87" s="95">
        <f>+'PARTE DIC2021'!G110</f>
        <v>0</v>
      </c>
      <c r="I87" s="95">
        <f>+'PARTE DIC2021'!H110</f>
        <v>98</v>
      </c>
      <c r="J87" s="95">
        <f>+'PARTE DIC2021'!I110</f>
        <v>0</v>
      </c>
      <c r="K87" s="95">
        <f>+'PARTE DIC2021'!J110</f>
        <v>98</v>
      </c>
      <c r="L87" s="95">
        <f>+'PARTE DIC2021'!K110</f>
        <v>156</v>
      </c>
      <c r="M87" s="95">
        <f>+'PARTE DIC2021'!L110</f>
        <v>0</v>
      </c>
      <c r="N87" s="95">
        <f>+'PARTE DIC2021'!M110</f>
        <v>156</v>
      </c>
      <c r="O87" s="95">
        <f>+'PARTE DIC2021'!N110</f>
        <v>254</v>
      </c>
      <c r="P87" s="95">
        <f>+'PARTE DIC2021'!O110</f>
        <v>104</v>
      </c>
      <c r="Q87" s="1146">
        <f>+'PARTE DIC2021'!P110</f>
        <v>0.69333333333333336</v>
      </c>
      <c r="R87" s="98"/>
    </row>
    <row r="88" spans="1:18" ht="15.75" customHeight="1">
      <c r="A88" s="94" t="str">
        <f t="shared" si="0"/>
        <v>EPM</v>
      </c>
      <c r="B88" s="88" t="e">
        <f t="shared" si="4"/>
        <v>#REF!</v>
      </c>
      <c r="C88" s="95" t="str">
        <f>+'PARTE DIC2021'!D83</f>
        <v>EPMSCSA San Andrés</v>
      </c>
      <c r="D88" s="95" t="e">
        <f>+'PARTE DIC2021'!#REF!</f>
        <v>#REF!</v>
      </c>
      <c r="E88" s="95" t="e">
        <f>+'PARTE DIC2021'!#REF!</f>
        <v>#REF!</v>
      </c>
      <c r="F88" s="95">
        <f>+'PARTE DIC2021'!E83</f>
        <v>136</v>
      </c>
      <c r="G88" s="95">
        <f>+'PARTE DIC2021'!F83</f>
        <v>153</v>
      </c>
      <c r="H88" s="95">
        <f>+'PARTE DIC2021'!G83</f>
        <v>16</v>
      </c>
      <c r="I88" s="95">
        <f>+'PARTE DIC2021'!H83</f>
        <v>112</v>
      </c>
      <c r="J88" s="95">
        <f>+'PARTE DIC2021'!I83</f>
        <v>16</v>
      </c>
      <c r="K88" s="95">
        <f>+'PARTE DIC2021'!J83</f>
        <v>128</v>
      </c>
      <c r="L88" s="95">
        <f>+'PARTE DIC2021'!K83</f>
        <v>41</v>
      </c>
      <c r="M88" s="95">
        <f>+'PARTE DIC2021'!L83</f>
        <v>0</v>
      </c>
      <c r="N88" s="95">
        <f>+'PARTE DIC2021'!M83</f>
        <v>41</v>
      </c>
      <c r="O88" s="95">
        <f>+'PARTE DIC2021'!N83</f>
        <v>169</v>
      </c>
      <c r="P88" s="95">
        <f>+'PARTE DIC2021'!O83</f>
        <v>33</v>
      </c>
      <c r="Q88" s="1146">
        <f>+'PARTE DIC2021'!P83</f>
        <v>0.24264705882352944</v>
      </c>
      <c r="R88" s="98"/>
    </row>
    <row r="89" spans="1:18" ht="15.75" customHeight="1">
      <c r="A89" s="94" t="str">
        <f t="shared" si="0"/>
        <v>EPM</v>
      </c>
      <c r="B89" s="88" t="e">
        <f t="shared" si="4"/>
        <v>#REF!</v>
      </c>
      <c r="C89" s="95" t="str">
        <f>+'PARTE DIC2021'!D123</f>
        <v>EPMSCANS Anserma</v>
      </c>
      <c r="D89" s="95" t="e">
        <f>+'PARTE DIC2021'!#REF!</f>
        <v>#REF!</v>
      </c>
      <c r="E89" s="95" t="e">
        <f>+'PARTE DIC2021'!#REF!</f>
        <v>#REF!</v>
      </c>
      <c r="F89" s="95">
        <f>+'PARTE DIC2021'!E123</f>
        <v>128</v>
      </c>
      <c r="G89" s="95">
        <f>+'PARTE DIC2021'!F123</f>
        <v>224</v>
      </c>
      <c r="H89" s="95">
        <f>+'PARTE DIC2021'!G123</f>
        <v>0</v>
      </c>
      <c r="I89" s="95">
        <f>+'PARTE DIC2021'!H123</f>
        <v>62</v>
      </c>
      <c r="J89" s="95">
        <f>+'PARTE DIC2021'!I123</f>
        <v>0</v>
      </c>
      <c r="K89" s="95">
        <f>+'PARTE DIC2021'!J123</f>
        <v>62</v>
      </c>
      <c r="L89" s="95">
        <f>+'PARTE DIC2021'!K123</f>
        <v>162</v>
      </c>
      <c r="M89" s="95">
        <f>+'PARTE DIC2021'!L123</f>
        <v>0</v>
      </c>
      <c r="N89" s="95">
        <f>+'PARTE DIC2021'!M123</f>
        <v>162</v>
      </c>
      <c r="O89" s="95">
        <f>+'PARTE DIC2021'!N123</f>
        <v>224</v>
      </c>
      <c r="P89" s="95">
        <f>+'PARTE DIC2021'!O123</f>
        <v>96</v>
      </c>
      <c r="Q89" s="1146">
        <f>+'PARTE DIC2021'!P123</f>
        <v>0.75</v>
      </c>
      <c r="R89" s="98"/>
    </row>
    <row r="90" spans="1:18" ht="15.75" customHeight="1">
      <c r="A90" s="94" t="str">
        <f t="shared" si="0"/>
        <v>RMM</v>
      </c>
      <c r="B90" s="88" t="e">
        <f t="shared" si="4"/>
        <v>#REF!</v>
      </c>
      <c r="C90" s="95" t="str">
        <f>+'PARTE DIC2021'!D129</f>
        <v>RMMAN Manizales</v>
      </c>
      <c r="D90" s="95" t="e">
        <f>+'PARTE DIC2021'!#REF!</f>
        <v>#REF!</v>
      </c>
      <c r="E90" s="95" t="e">
        <f>+'PARTE DIC2021'!#REF!</f>
        <v>#REF!</v>
      </c>
      <c r="F90" s="95">
        <f>+'PARTE DIC2021'!E129</f>
        <v>128</v>
      </c>
      <c r="G90" s="95">
        <f>+'PARTE DIC2021'!F129</f>
        <v>0</v>
      </c>
      <c r="H90" s="95">
        <f>+'PARTE DIC2021'!G129</f>
        <v>166</v>
      </c>
      <c r="I90" s="95">
        <f>+'PARTE DIC2021'!H129</f>
        <v>0</v>
      </c>
      <c r="J90" s="95">
        <f>+'PARTE DIC2021'!I129</f>
        <v>68</v>
      </c>
      <c r="K90" s="95">
        <f>+'PARTE DIC2021'!J129</f>
        <v>68</v>
      </c>
      <c r="L90" s="95">
        <f>+'PARTE DIC2021'!K129</f>
        <v>0</v>
      </c>
      <c r="M90" s="95">
        <f>+'PARTE DIC2021'!L129</f>
        <v>98</v>
      </c>
      <c r="N90" s="95">
        <f>+'PARTE DIC2021'!M129</f>
        <v>98</v>
      </c>
      <c r="O90" s="95">
        <f>+'PARTE DIC2021'!N129</f>
        <v>166</v>
      </c>
      <c r="P90" s="95">
        <f>+'PARTE DIC2021'!O129</f>
        <v>38</v>
      </c>
      <c r="Q90" s="1146">
        <f>+'PARTE DIC2021'!P129</f>
        <v>0.296875</v>
      </c>
      <c r="R90" s="98"/>
    </row>
    <row r="91" spans="1:18" ht="15.75" customHeight="1">
      <c r="A91" s="94" t="str">
        <f t="shared" si="0"/>
        <v>EPM</v>
      </c>
      <c r="B91" s="88" t="e">
        <f t="shared" si="4"/>
        <v>#REF!</v>
      </c>
      <c r="C91" s="95" t="str">
        <f>+'PARTE DIC2021'!D106</f>
        <v>EPMSCBOV Bolívar -Antioquia</v>
      </c>
      <c r="D91" s="95" t="e">
        <f>+'PARTE DIC2021'!#REF!</f>
        <v>#REF!</v>
      </c>
      <c r="E91" s="95" t="e">
        <f>+'PARTE DIC2021'!#REF!</f>
        <v>#REF!</v>
      </c>
      <c r="F91" s="95">
        <f>+'PARTE DIC2021'!E106</f>
        <v>124</v>
      </c>
      <c r="G91" s="95">
        <f>+'PARTE DIC2021'!F106</f>
        <v>134</v>
      </c>
      <c r="H91" s="95">
        <f>+'PARTE DIC2021'!G106</f>
        <v>0</v>
      </c>
      <c r="I91" s="95">
        <f>+'PARTE DIC2021'!H106</f>
        <v>18</v>
      </c>
      <c r="J91" s="95">
        <f>+'PARTE DIC2021'!I106</f>
        <v>0</v>
      </c>
      <c r="K91" s="95">
        <f>+'PARTE DIC2021'!J106</f>
        <v>18</v>
      </c>
      <c r="L91" s="95">
        <f>+'PARTE DIC2021'!K106</f>
        <v>116</v>
      </c>
      <c r="M91" s="95">
        <f>+'PARTE DIC2021'!L106</f>
        <v>0</v>
      </c>
      <c r="N91" s="95">
        <f>+'PARTE DIC2021'!M106</f>
        <v>116</v>
      </c>
      <c r="O91" s="95">
        <f>+'PARTE DIC2021'!N106</f>
        <v>134</v>
      </c>
      <c r="P91" s="95">
        <f>+'PARTE DIC2021'!O106</f>
        <v>10</v>
      </c>
      <c r="Q91" s="1146">
        <f>+'PARTE DIC2021'!P106</f>
        <v>8.0645161290322509E-2</v>
      </c>
      <c r="R91" s="98"/>
    </row>
    <row r="92" spans="1:18" ht="15.75" customHeight="1">
      <c r="A92" s="94" t="str">
        <f t="shared" si="0"/>
        <v>CPM</v>
      </c>
      <c r="B92" s="88" t="e">
        <f t="shared" si="4"/>
        <v>#REF!</v>
      </c>
      <c r="C92" s="95" t="str">
        <f>+'PARTE DIC2021'!D17</f>
        <v>CPMSRAM Ramiriquí</v>
      </c>
      <c r="D92" s="95" t="e">
        <f>+'PARTE DIC2021'!#REF!</f>
        <v>#REF!</v>
      </c>
      <c r="E92" s="95" t="e">
        <f>+'PARTE DIC2021'!#REF!</f>
        <v>#REF!</v>
      </c>
      <c r="F92" s="95">
        <f>+'PARTE DIC2021'!E17</f>
        <v>122</v>
      </c>
      <c r="G92" s="95">
        <f>+'PARTE DIC2021'!F17</f>
        <v>144</v>
      </c>
      <c r="H92" s="95">
        <f>+'PARTE DIC2021'!G17</f>
        <v>0</v>
      </c>
      <c r="I92" s="95">
        <f>+'PARTE DIC2021'!H17</f>
        <v>29</v>
      </c>
      <c r="J92" s="95">
        <f>+'PARTE DIC2021'!I17</f>
        <v>0</v>
      </c>
      <c r="K92" s="95">
        <f>+'PARTE DIC2021'!J17</f>
        <v>29</v>
      </c>
      <c r="L92" s="95">
        <f>+'PARTE DIC2021'!K17</f>
        <v>115</v>
      </c>
      <c r="M92" s="95">
        <f>+'PARTE DIC2021'!L17</f>
        <v>0</v>
      </c>
      <c r="N92" s="95">
        <f>+'PARTE DIC2021'!M17</f>
        <v>115</v>
      </c>
      <c r="O92" s="95">
        <f>+'PARTE DIC2021'!N17</f>
        <v>144</v>
      </c>
      <c r="P92" s="95">
        <f>+'PARTE DIC2021'!O17</f>
        <v>22</v>
      </c>
      <c r="Q92" s="1146">
        <f>+'PARTE DIC2021'!P17</f>
        <v>0.18032786885245899</v>
      </c>
      <c r="R92" s="98"/>
    </row>
    <row r="93" spans="1:18" ht="15.75" customHeight="1">
      <c r="A93" s="94" t="str">
        <f t="shared" si="0"/>
        <v>EPM</v>
      </c>
      <c r="B93" s="88" t="e">
        <f t="shared" si="4"/>
        <v>#REF!</v>
      </c>
      <c r="C93" s="95" t="str">
        <f>+'PARTE DIC2021'!D32</f>
        <v>EPMSCGRA Granada</v>
      </c>
      <c r="D93" s="95" t="e">
        <f>+'PARTE DIC2021'!#REF!</f>
        <v>#REF!</v>
      </c>
      <c r="E93" s="95" t="e">
        <f>+'PARTE DIC2021'!#REF!</f>
        <v>#REF!</v>
      </c>
      <c r="F93" s="95">
        <f>+'PARTE DIC2021'!E32</f>
        <v>120</v>
      </c>
      <c r="G93" s="95">
        <f>+'PARTE DIC2021'!F32</f>
        <v>192</v>
      </c>
      <c r="H93" s="95">
        <f>+'PARTE DIC2021'!G32</f>
        <v>0</v>
      </c>
      <c r="I93" s="95">
        <f>+'PARTE DIC2021'!H32</f>
        <v>83</v>
      </c>
      <c r="J93" s="95">
        <f>+'PARTE DIC2021'!I32</f>
        <v>0</v>
      </c>
      <c r="K93" s="95">
        <f>+'PARTE DIC2021'!J32</f>
        <v>83</v>
      </c>
      <c r="L93" s="95">
        <f>+'PARTE DIC2021'!K32</f>
        <v>109</v>
      </c>
      <c r="M93" s="95">
        <f>+'PARTE DIC2021'!L32</f>
        <v>0</v>
      </c>
      <c r="N93" s="95">
        <f>+'PARTE DIC2021'!M32</f>
        <v>109</v>
      </c>
      <c r="O93" s="95">
        <f>+'PARTE DIC2021'!N32</f>
        <v>192</v>
      </c>
      <c r="P93" s="95">
        <f>+'PARTE DIC2021'!O32</f>
        <v>72</v>
      </c>
      <c r="Q93" s="1146">
        <f>+'PARTE DIC2021'!P32</f>
        <v>0.60000000000000009</v>
      </c>
      <c r="R93" s="98"/>
    </row>
    <row r="94" spans="1:18" ht="15.75" customHeight="1">
      <c r="A94" s="94" t="str">
        <f t="shared" si="0"/>
        <v>CPM</v>
      </c>
      <c r="B94" s="88" t="e">
        <f t="shared" si="4"/>
        <v>#REF!</v>
      </c>
      <c r="C94" s="95" t="str">
        <f>+'PARTE DIC2021'!D44</f>
        <v>CPMSTUN Tunja</v>
      </c>
      <c r="D94" s="95" t="e">
        <f>+'PARTE DIC2021'!#REF!</f>
        <v>#REF!</v>
      </c>
      <c r="E94" s="95" t="e">
        <f>+'PARTE DIC2021'!#REF!</f>
        <v>#REF!</v>
      </c>
      <c r="F94" s="95">
        <f>+'PARTE DIC2021'!E44</f>
        <v>120</v>
      </c>
      <c r="G94" s="95">
        <f>+'PARTE DIC2021'!F44</f>
        <v>169</v>
      </c>
      <c r="H94" s="95">
        <f>+'PARTE DIC2021'!G44</f>
        <v>0</v>
      </c>
      <c r="I94" s="95">
        <f>+'PARTE DIC2021'!H44</f>
        <v>38</v>
      </c>
      <c r="J94" s="95">
        <f>+'PARTE DIC2021'!I44</f>
        <v>0</v>
      </c>
      <c r="K94" s="95">
        <f>+'PARTE DIC2021'!J44</f>
        <v>38</v>
      </c>
      <c r="L94" s="95">
        <f>+'PARTE DIC2021'!K44</f>
        <v>131</v>
      </c>
      <c r="M94" s="95">
        <f>+'PARTE DIC2021'!L44</f>
        <v>0</v>
      </c>
      <c r="N94" s="95">
        <f>+'PARTE DIC2021'!M44</f>
        <v>131</v>
      </c>
      <c r="O94" s="95">
        <f>+'PARTE DIC2021'!N44</f>
        <v>169</v>
      </c>
      <c r="P94" s="95">
        <f>+'PARTE DIC2021'!O44</f>
        <v>49</v>
      </c>
      <c r="Q94" s="1146">
        <f>+'PARTE DIC2021'!P44</f>
        <v>0.40833333333333344</v>
      </c>
      <c r="R94" s="98"/>
    </row>
    <row r="95" spans="1:18" ht="15.75" customHeight="1">
      <c r="A95" s="94" t="str">
        <f t="shared" si="0"/>
        <v>CPM</v>
      </c>
      <c r="B95" s="88" t="e">
        <f t="shared" si="4"/>
        <v>#REF!</v>
      </c>
      <c r="C95" s="95" t="str">
        <f>+'PARTE DIC2021'!D46</f>
        <v>CPMSPDA Paz de Ariporo</v>
      </c>
      <c r="D95" s="95" t="e">
        <f>+'PARTE DIC2021'!#REF!</f>
        <v>#REF!</v>
      </c>
      <c r="E95" s="95" t="e">
        <f>+'PARTE DIC2021'!#REF!</f>
        <v>#REF!</v>
      </c>
      <c r="F95" s="95">
        <f>+'PARTE DIC2021'!E46</f>
        <v>120</v>
      </c>
      <c r="G95" s="95">
        <f>+'PARTE DIC2021'!F46</f>
        <v>94</v>
      </c>
      <c r="H95" s="95">
        <f>+'PARTE DIC2021'!G46</f>
        <v>0</v>
      </c>
      <c r="I95" s="95">
        <f>+'PARTE DIC2021'!H46</f>
        <v>20</v>
      </c>
      <c r="J95" s="95">
        <f>+'PARTE DIC2021'!I46</f>
        <v>0</v>
      </c>
      <c r="K95" s="95">
        <f>+'PARTE DIC2021'!J46</f>
        <v>20</v>
      </c>
      <c r="L95" s="95">
        <f>+'PARTE DIC2021'!K46</f>
        <v>74</v>
      </c>
      <c r="M95" s="95">
        <f>+'PARTE DIC2021'!L46</f>
        <v>0</v>
      </c>
      <c r="N95" s="95">
        <f>+'PARTE DIC2021'!M46</f>
        <v>74</v>
      </c>
      <c r="O95" s="95">
        <f>+'PARTE DIC2021'!N46</f>
        <v>94</v>
      </c>
      <c r="P95" s="95">
        <f>+'PARTE DIC2021'!O46</f>
        <v>-26</v>
      </c>
      <c r="Q95" s="1146">
        <f>+'PARTE DIC2021'!P46</f>
        <v>-0.21666666666666667</v>
      </c>
      <c r="R95" s="98"/>
    </row>
    <row r="96" spans="1:18" ht="15.75" customHeight="1">
      <c r="A96" s="94" t="str">
        <f t="shared" si="0"/>
        <v>EPM</v>
      </c>
      <c r="B96" s="88" t="e">
        <f t="shared" si="4"/>
        <v>#REF!</v>
      </c>
      <c r="C96" s="95" t="str">
        <f>+'PARTE DIC2021'!D140</f>
        <v>EPMSCPBO Puerto Boyacá</v>
      </c>
      <c r="D96" s="95" t="e">
        <f>+'PARTE DIC2021'!#REF!</f>
        <v>#REF!</v>
      </c>
      <c r="E96" s="95" t="e">
        <f>+'PARTE DIC2021'!#REF!</f>
        <v>#REF!</v>
      </c>
      <c r="F96" s="95">
        <f>+'PARTE DIC2021'!E140</f>
        <v>120</v>
      </c>
      <c r="G96" s="95">
        <f>+'PARTE DIC2021'!F140</f>
        <v>190</v>
      </c>
      <c r="H96" s="95">
        <f>+'PARTE DIC2021'!G140</f>
        <v>0</v>
      </c>
      <c r="I96" s="95">
        <f>+'PARTE DIC2021'!H140</f>
        <v>65</v>
      </c>
      <c r="J96" s="95">
        <f>+'PARTE DIC2021'!I140</f>
        <v>0</v>
      </c>
      <c r="K96" s="95">
        <f>+'PARTE DIC2021'!J140</f>
        <v>65</v>
      </c>
      <c r="L96" s="95">
        <f>+'PARTE DIC2021'!K140</f>
        <v>125</v>
      </c>
      <c r="M96" s="95">
        <f>+'PARTE DIC2021'!L140</f>
        <v>0</v>
      </c>
      <c r="N96" s="95">
        <f>+'PARTE DIC2021'!M140</f>
        <v>125</v>
      </c>
      <c r="O96" s="95">
        <f>+'PARTE DIC2021'!N140</f>
        <v>190</v>
      </c>
      <c r="P96" s="95">
        <f>+'PARTE DIC2021'!O140</f>
        <v>70</v>
      </c>
      <c r="Q96" s="1146">
        <f>+'PARTE DIC2021'!P140</f>
        <v>0.58333333333333326</v>
      </c>
      <c r="R96" s="98"/>
    </row>
    <row r="97" spans="1:18" ht="15.75" customHeight="1">
      <c r="A97" s="94" t="str">
        <f t="shared" si="0"/>
        <v>EPM</v>
      </c>
      <c r="B97" s="88" t="e">
        <f t="shared" si="4"/>
        <v>#REF!</v>
      </c>
      <c r="C97" s="95" t="str">
        <f>+'PARTE DIC2021'!D10</f>
        <v>EPMSCLET Leticia</v>
      </c>
      <c r="D97" s="95" t="e">
        <f>+'PARTE DIC2021'!#REF!</f>
        <v>#REF!</v>
      </c>
      <c r="E97" s="95" t="e">
        <f>+'PARTE DIC2021'!#REF!</f>
        <v>#REF!</v>
      </c>
      <c r="F97" s="95">
        <f>+'PARTE DIC2021'!E10</f>
        <v>118</v>
      </c>
      <c r="G97" s="95">
        <f>+'PARTE DIC2021'!F10</f>
        <v>135</v>
      </c>
      <c r="H97" s="95">
        <f>+'PARTE DIC2021'!G10</f>
        <v>6</v>
      </c>
      <c r="I97" s="95">
        <f>+'PARTE DIC2021'!H10</f>
        <v>75</v>
      </c>
      <c r="J97" s="95">
        <f>+'PARTE DIC2021'!I10</f>
        <v>2</v>
      </c>
      <c r="K97" s="95">
        <f>+'PARTE DIC2021'!J10</f>
        <v>77</v>
      </c>
      <c r="L97" s="95">
        <f>+'PARTE DIC2021'!K10</f>
        <v>60</v>
      </c>
      <c r="M97" s="95">
        <f>+'PARTE DIC2021'!L10</f>
        <v>4</v>
      </c>
      <c r="N97" s="95">
        <f>+'PARTE DIC2021'!M10</f>
        <v>64</v>
      </c>
      <c r="O97" s="95">
        <f>+'PARTE DIC2021'!N10</f>
        <v>141</v>
      </c>
      <c r="P97" s="95">
        <f>+'PARTE DIC2021'!O10</f>
        <v>23</v>
      </c>
      <c r="Q97" s="1146">
        <f>+'PARTE DIC2021'!P10</f>
        <v>0.19491525423728806</v>
      </c>
      <c r="R97" s="98"/>
    </row>
    <row r="98" spans="1:18" ht="15.75" customHeight="1">
      <c r="A98" s="94" t="str">
        <f t="shared" si="0"/>
        <v>CPM</v>
      </c>
      <c r="B98" s="88" t="e">
        <f t="shared" si="4"/>
        <v>#REF!</v>
      </c>
      <c r="C98" s="95" t="str">
        <f>+'PARTE DIC2021'!D26</f>
        <v>CPMSUBA Ubaté</v>
      </c>
      <c r="D98" s="95" t="e">
        <f>+'PARTE DIC2021'!#REF!</f>
        <v>#REF!</v>
      </c>
      <c r="E98" s="95" t="e">
        <f>+'PARTE DIC2021'!#REF!</f>
        <v>#REF!</v>
      </c>
      <c r="F98" s="95">
        <f>+'PARTE DIC2021'!E26</f>
        <v>117</v>
      </c>
      <c r="G98" s="95">
        <f>+'PARTE DIC2021'!F26</f>
        <v>119</v>
      </c>
      <c r="H98" s="95">
        <f>+'PARTE DIC2021'!G26</f>
        <v>0</v>
      </c>
      <c r="I98" s="95">
        <f>+'PARTE DIC2021'!H26</f>
        <v>29</v>
      </c>
      <c r="J98" s="95">
        <f>+'PARTE DIC2021'!I26</f>
        <v>0</v>
      </c>
      <c r="K98" s="95">
        <f>+'PARTE DIC2021'!J26</f>
        <v>29</v>
      </c>
      <c r="L98" s="95">
        <f>+'PARTE DIC2021'!K26</f>
        <v>90</v>
      </c>
      <c r="M98" s="95">
        <f>+'PARTE DIC2021'!L26</f>
        <v>0</v>
      </c>
      <c r="N98" s="95">
        <f>+'PARTE DIC2021'!M26</f>
        <v>90</v>
      </c>
      <c r="O98" s="95">
        <f>+'PARTE DIC2021'!N26</f>
        <v>119</v>
      </c>
      <c r="P98" s="95">
        <f>+'PARTE DIC2021'!O26</f>
        <v>2</v>
      </c>
      <c r="Q98" s="1146">
        <f>+'PARTE DIC2021'!P26</f>
        <v>1.7094017094017033E-2</v>
      </c>
      <c r="R98" s="98"/>
    </row>
    <row r="99" spans="1:18" ht="15.75" customHeight="1">
      <c r="A99" s="94" t="str">
        <f t="shared" si="0"/>
        <v>CPM</v>
      </c>
      <c r="B99" s="88" t="e">
        <f t="shared" si="4"/>
        <v>#REF!</v>
      </c>
      <c r="C99" s="95" t="str">
        <f>+'PARTE DIC2021'!D112</f>
        <v>CPMSSDO Santo Domingo</v>
      </c>
      <c r="D99" s="95" t="e">
        <f>+'PARTE DIC2021'!#REF!</f>
        <v>#REF!</v>
      </c>
      <c r="E99" s="95" t="e">
        <f>+'PARTE DIC2021'!#REF!</f>
        <v>#REF!</v>
      </c>
      <c r="F99" s="95">
        <f>+'PARTE DIC2021'!E112</f>
        <v>115</v>
      </c>
      <c r="G99" s="95">
        <f>+'PARTE DIC2021'!F112</f>
        <v>142</v>
      </c>
      <c r="H99" s="95">
        <f>+'PARTE DIC2021'!G112</f>
        <v>0</v>
      </c>
      <c r="I99" s="95">
        <f>+'PARTE DIC2021'!H112</f>
        <v>13</v>
      </c>
      <c r="J99" s="95">
        <f>+'PARTE DIC2021'!I112</f>
        <v>0</v>
      </c>
      <c r="K99" s="95">
        <f>+'PARTE DIC2021'!J112</f>
        <v>13</v>
      </c>
      <c r="L99" s="95">
        <f>+'PARTE DIC2021'!K112</f>
        <v>129</v>
      </c>
      <c r="M99" s="95">
        <f>+'PARTE DIC2021'!L112</f>
        <v>0</v>
      </c>
      <c r="N99" s="95">
        <f>+'PARTE DIC2021'!M112</f>
        <v>129</v>
      </c>
      <c r="O99" s="95">
        <f>+'PARTE DIC2021'!N112</f>
        <v>142</v>
      </c>
      <c r="P99" s="95">
        <f>+'PARTE DIC2021'!O112</f>
        <v>27</v>
      </c>
      <c r="Q99" s="1146">
        <f>+'PARTE DIC2021'!P112</f>
        <v>0.23478260869565215</v>
      </c>
      <c r="R99" s="98"/>
    </row>
    <row r="100" spans="1:18" ht="15.75" customHeight="1">
      <c r="A100" s="94" t="str">
        <f t="shared" si="0"/>
        <v>EPM</v>
      </c>
      <c r="B100" s="88" t="e">
        <f t="shared" si="4"/>
        <v>#REF!</v>
      </c>
      <c r="C100" s="95" t="str">
        <f>+'PARTE DIC2021'!D109</f>
        <v>EPMSCLCJ La Ceja</v>
      </c>
      <c r="D100" s="95" t="e">
        <f>+'PARTE DIC2021'!#REF!</f>
        <v>#REF!</v>
      </c>
      <c r="E100" s="95" t="e">
        <f>+'PARTE DIC2021'!#REF!</f>
        <v>#REF!</v>
      </c>
      <c r="F100" s="95">
        <f>+'PARTE DIC2021'!E109</f>
        <v>114</v>
      </c>
      <c r="G100" s="95">
        <f>+'PARTE DIC2021'!F109</f>
        <v>233</v>
      </c>
      <c r="H100" s="95">
        <f>+'PARTE DIC2021'!G109</f>
        <v>0</v>
      </c>
      <c r="I100" s="95">
        <f>+'PARTE DIC2021'!H109</f>
        <v>32</v>
      </c>
      <c r="J100" s="95">
        <f>+'PARTE DIC2021'!I109</f>
        <v>0</v>
      </c>
      <c r="K100" s="95">
        <f>+'PARTE DIC2021'!J109</f>
        <v>32</v>
      </c>
      <c r="L100" s="95">
        <f>+'PARTE DIC2021'!K109</f>
        <v>201</v>
      </c>
      <c r="M100" s="95">
        <f>+'PARTE DIC2021'!L109</f>
        <v>0</v>
      </c>
      <c r="N100" s="95">
        <f>+'PARTE DIC2021'!M109</f>
        <v>201</v>
      </c>
      <c r="O100" s="95">
        <f>+'PARTE DIC2021'!N109</f>
        <v>233</v>
      </c>
      <c r="P100" s="95">
        <f>+'PARTE DIC2021'!O109</f>
        <v>119</v>
      </c>
      <c r="Q100" s="1146">
        <f>+'PARTE DIC2021'!P109</f>
        <v>1.0438596491228069</v>
      </c>
      <c r="R100" s="98"/>
    </row>
    <row r="101" spans="1:18" ht="15.75" customHeight="1">
      <c r="A101" s="94" t="str">
        <f t="shared" si="0"/>
        <v>CPM</v>
      </c>
      <c r="B101" s="88" t="e">
        <f t="shared" si="4"/>
        <v>#REF!</v>
      </c>
      <c r="C101" s="95" t="str">
        <f>+'PARTE DIC2021'!D42</f>
        <v>CPMSPUR Purificación</v>
      </c>
      <c r="D101" s="95" t="e">
        <f>+'PARTE DIC2021'!#REF!</f>
        <v>#REF!</v>
      </c>
      <c r="E101" s="95" t="e">
        <f>+'PARTE DIC2021'!#REF!</f>
        <v>#REF!</v>
      </c>
      <c r="F101" s="95">
        <f>+'PARTE DIC2021'!E42</f>
        <v>113</v>
      </c>
      <c r="G101" s="95">
        <f>+'PARTE DIC2021'!F42</f>
        <v>1</v>
      </c>
      <c r="H101" s="95">
        <f>+'PARTE DIC2021'!G42</f>
        <v>0</v>
      </c>
      <c r="I101" s="95">
        <f>+'PARTE DIC2021'!H42</f>
        <v>0</v>
      </c>
      <c r="J101" s="95">
        <f>+'PARTE DIC2021'!I42</f>
        <v>0</v>
      </c>
      <c r="K101" s="95">
        <f>+'PARTE DIC2021'!J42</f>
        <v>0</v>
      </c>
      <c r="L101" s="95">
        <f>+'PARTE DIC2021'!K42</f>
        <v>1</v>
      </c>
      <c r="M101" s="95">
        <f>+'PARTE DIC2021'!L42</f>
        <v>0</v>
      </c>
      <c r="N101" s="95">
        <f>+'PARTE DIC2021'!M42</f>
        <v>1</v>
      </c>
      <c r="O101" s="95">
        <f>+'PARTE DIC2021'!N42</f>
        <v>1</v>
      </c>
      <c r="P101" s="95">
        <f>+'PARTE DIC2021'!O42</f>
        <v>-112</v>
      </c>
      <c r="Q101" s="1146">
        <f>+'PARTE DIC2021'!P42</f>
        <v>-0.99115044247787609</v>
      </c>
      <c r="R101" s="98"/>
    </row>
    <row r="102" spans="1:18" ht="15.75" customHeight="1">
      <c r="A102" s="94" t="str">
        <f t="shared" si="0"/>
        <v>CPM</v>
      </c>
      <c r="B102" s="88" t="e">
        <f t="shared" si="4"/>
        <v>#REF!</v>
      </c>
      <c r="C102" s="95" t="str">
        <f>+'PARTE DIC2021'!D22</f>
        <v>CPMSCHO Chocontá</v>
      </c>
      <c r="D102" s="95" t="e">
        <f>+'PARTE DIC2021'!#REF!</f>
        <v>#REF!</v>
      </c>
      <c r="E102" s="95" t="e">
        <f>+'PARTE DIC2021'!#REF!</f>
        <v>#REF!</v>
      </c>
      <c r="F102" s="95">
        <f>+'PARTE DIC2021'!E22</f>
        <v>112</v>
      </c>
      <c r="G102" s="95">
        <f>+'PARTE DIC2021'!F22</f>
        <v>144</v>
      </c>
      <c r="H102" s="95">
        <f>+'PARTE DIC2021'!G22</f>
        <v>0</v>
      </c>
      <c r="I102" s="95">
        <f>+'PARTE DIC2021'!H22</f>
        <v>40</v>
      </c>
      <c r="J102" s="95">
        <f>+'PARTE DIC2021'!I22</f>
        <v>0</v>
      </c>
      <c r="K102" s="95">
        <f>+'PARTE DIC2021'!J22</f>
        <v>40</v>
      </c>
      <c r="L102" s="95">
        <f>+'PARTE DIC2021'!K22</f>
        <v>104</v>
      </c>
      <c r="M102" s="95">
        <f>+'PARTE DIC2021'!L22</f>
        <v>0</v>
      </c>
      <c r="N102" s="95">
        <f>+'PARTE DIC2021'!M22</f>
        <v>104</v>
      </c>
      <c r="O102" s="95">
        <f>+'PARTE DIC2021'!N22</f>
        <v>144</v>
      </c>
      <c r="P102" s="95">
        <f>+'PARTE DIC2021'!O22</f>
        <v>32</v>
      </c>
      <c r="Q102" s="1146">
        <f>+'PARTE DIC2021'!P22</f>
        <v>0.28571428571428581</v>
      </c>
      <c r="R102" s="98"/>
    </row>
    <row r="103" spans="1:18" ht="15.75" customHeight="1">
      <c r="A103" s="94" t="str">
        <f t="shared" si="0"/>
        <v>EPM</v>
      </c>
      <c r="B103" s="88" t="e">
        <f t="shared" ref="B103:B134" si="5">IF(ISBLANK(C103),0,B102+1)</f>
        <v>#REF!</v>
      </c>
      <c r="C103" s="95" t="str">
        <f>+'PARTE DIC2021'!D21</f>
        <v>EPMSCCAQ Cáqueza</v>
      </c>
      <c r="D103" s="95" t="e">
        <f>+'PARTE DIC2021'!#REF!</f>
        <v>#REF!</v>
      </c>
      <c r="E103" s="95" t="e">
        <f>+'PARTE DIC2021'!#REF!</f>
        <v>#REF!</v>
      </c>
      <c r="F103" s="95">
        <f>+'PARTE DIC2021'!E21</f>
        <v>108</v>
      </c>
      <c r="G103" s="95">
        <f>+'PARTE DIC2021'!F21</f>
        <v>157</v>
      </c>
      <c r="H103" s="95">
        <f>+'PARTE DIC2021'!G21</f>
        <v>0</v>
      </c>
      <c r="I103" s="95">
        <f>+'PARTE DIC2021'!H21</f>
        <v>56</v>
      </c>
      <c r="J103" s="95">
        <f>+'PARTE DIC2021'!I21</f>
        <v>0</v>
      </c>
      <c r="K103" s="95">
        <f>+'PARTE DIC2021'!J21</f>
        <v>56</v>
      </c>
      <c r="L103" s="95">
        <f>+'PARTE DIC2021'!K21</f>
        <v>101</v>
      </c>
      <c r="M103" s="95">
        <f>+'PARTE DIC2021'!L21</f>
        <v>0</v>
      </c>
      <c r="N103" s="95">
        <f>+'PARTE DIC2021'!M21</f>
        <v>101</v>
      </c>
      <c r="O103" s="95">
        <f>+'PARTE DIC2021'!N21</f>
        <v>157</v>
      </c>
      <c r="P103" s="95">
        <f>+'PARTE DIC2021'!O21</f>
        <v>49</v>
      </c>
      <c r="Q103" s="1146">
        <f>+'PARTE DIC2021'!P21</f>
        <v>0.45370370370370372</v>
      </c>
      <c r="R103" s="98"/>
    </row>
    <row r="104" spans="1:18" ht="15.75" customHeight="1">
      <c r="A104" s="94" t="str">
        <f t="shared" si="0"/>
        <v>CPM</v>
      </c>
      <c r="B104" s="88" t="e">
        <f t="shared" si="5"/>
        <v>#REF!</v>
      </c>
      <c r="C104" s="95" t="str">
        <f>+'PARTE DIC2021'!D53</f>
        <v>CPMSEBO El Bordo</v>
      </c>
      <c r="D104" s="95" t="e">
        <f>+'PARTE DIC2021'!#REF!</f>
        <v>#REF!</v>
      </c>
      <c r="E104" s="95" t="e">
        <f>+'PARTE DIC2021'!#REF!</f>
        <v>#REF!</v>
      </c>
      <c r="F104" s="95">
        <f>+'PARTE DIC2021'!E53</f>
        <v>108</v>
      </c>
      <c r="G104" s="95">
        <f>+'PARTE DIC2021'!F53</f>
        <v>113</v>
      </c>
      <c r="H104" s="95">
        <f>+'PARTE DIC2021'!G53</f>
        <v>0</v>
      </c>
      <c r="I104" s="95">
        <f>+'PARTE DIC2021'!H53</f>
        <v>21</v>
      </c>
      <c r="J104" s="95">
        <f>+'PARTE DIC2021'!I53</f>
        <v>0</v>
      </c>
      <c r="K104" s="95">
        <f>+'PARTE DIC2021'!J53</f>
        <v>21</v>
      </c>
      <c r="L104" s="95">
        <f>+'PARTE DIC2021'!K53</f>
        <v>92</v>
      </c>
      <c r="M104" s="95">
        <f>+'PARTE DIC2021'!L53</f>
        <v>0</v>
      </c>
      <c r="N104" s="95">
        <f>+'PARTE DIC2021'!M53</f>
        <v>92</v>
      </c>
      <c r="O104" s="95">
        <f>+'PARTE DIC2021'!N53</f>
        <v>113</v>
      </c>
      <c r="P104" s="95">
        <f>+'PARTE DIC2021'!O53</f>
        <v>5</v>
      </c>
      <c r="Q104" s="1146">
        <f>+'PARTE DIC2021'!P53</f>
        <v>4.629629629629628E-2</v>
      </c>
      <c r="R104" s="98"/>
    </row>
    <row r="105" spans="1:18" ht="15.75" customHeight="1">
      <c r="A105" s="94" t="str">
        <f t="shared" si="0"/>
        <v>EPM</v>
      </c>
      <c r="B105" s="88" t="e">
        <f t="shared" si="5"/>
        <v>#REF!</v>
      </c>
      <c r="C105" s="95" t="str">
        <f>+'PARTE DIC2021'!D70</f>
        <v>EPMSCCAI Caicedonia</v>
      </c>
      <c r="D105" s="95" t="e">
        <f>+'PARTE DIC2021'!#REF!</f>
        <v>#REF!</v>
      </c>
      <c r="E105" s="95" t="e">
        <f>+'PARTE DIC2021'!#REF!</f>
        <v>#REF!</v>
      </c>
      <c r="F105" s="95">
        <f>+'PARTE DIC2021'!E70</f>
        <v>102</v>
      </c>
      <c r="G105" s="95">
        <f>+'PARTE DIC2021'!F70</f>
        <v>112</v>
      </c>
      <c r="H105" s="95">
        <f>+'PARTE DIC2021'!G70</f>
        <v>0</v>
      </c>
      <c r="I105" s="95">
        <f>+'PARTE DIC2021'!H70</f>
        <v>44</v>
      </c>
      <c r="J105" s="95">
        <f>+'PARTE DIC2021'!I70</f>
        <v>0</v>
      </c>
      <c r="K105" s="95">
        <f>+'PARTE DIC2021'!J70</f>
        <v>44</v>
      </c>
      <c r="L105" s="95">
        <f>+'PARTE DIC2021'!K70</f>
        <v>68</v>
      </c>
      <c r="M105" s="95">
        <f>+'PARTE DIC2021'!L70</f>
        <v>0</v>
      </c>
      <c r="N105" s="95">
        <f>+'PARTE DIC2021'!M70</f>
        <v>68</v>
      </c>
      <c r="O105" s="95">
        <f>+'PARTE DIC2021'!N70</f>
        <v>112</v>
      </c>
      <c r="P105" s="95">
        <f>+'PARTE DIC2021'!O70</f>
        <v>10</v>
      </c>
      <c r="Q105" s="1146">
        <f>+'PARTE DIC2021'!P70</f>
        <v>9.8039215686274606E-2</v>
      </c>
      <c r="R105" s="98"/>
    </row>
    <row r="106" spans="1:18" ht="15.75" customHeight="1">
      <c r="A106" s="94" t="str">
        <f t="shared" si="0"/>
        <v>EPC</v>
      </c>
      <c r="B106" s="88" t="e">
        <f t="shared" si="5"/>
        <v>#REF!</v>
      </c>
      <c r="C106" s="95" t="str">
        <f>+'PARTE DIC2021'!D50</f>
        <v>EPCGUM El Guamo</v>
      </c>
      <c r="D106" s="95" t="e">
        <f>+'PARTE DIC2021'!#REF!</f>
        <v>#REF!</v>
      </c>
      <c r="E106" s="95" t="e">
        <f>+'PARTE DIC2021'!#REF!</f>
        <v>#REF!</v>
      </c>
      <c r="F106" s="95">
        <f>+'PARTE DIC2021'!E50</f>
        <v>100</v>
      </c>
      <c r="G106" s="95">
        <f>+'PARTE DIC2021'!F50</f>
        <v>101</v>
      </c>
      <c r="H106" s="95">
        <f>+'PARTE DIC2021'!G50</f>
        <v>0</v>
      </c>
      <c r="I106" s="95">
        <f>+'PARTE DIC2021'!H50</f>
        <v>28</v>
      </c>
      <c r="J106" s="95">
        <f>+'PARTE DIC2021'!I50</f>
        <v>0</v>
      </c>
      <c r="K106" s="95">
        <f>+'PARTE DIC2021'!J50</f>
        <v>28</v>
      </c>
      <c r="L106" s="95">
        <f>+'PARTE DIC2021'!K50</f>
        <v>73</v>
      </c>
      <c r="M106" s="95">
        <f>+'PARTE DIC2021'!L50</f>
        <v>0</v>
      </c>
      <c r="N106" s="95">
        <f>+'PARTE DIC2021'!M50</f>
        <v>73</v>
      </c>
      <c r="O106" s="95">
        <f>+'PARTE DIC2021'!N50</f>
        <v>101</v>
      </c>
      <c r="P106" s="95">
        <f>+'PARTE DIC2021'!O50</f>
        <v>1</v>
      </c>
      <c r="Q106" s="1146">
        <f>+'PARTE DIC2021'!P50</f>
        <v>1.0000000000000009E-2</v>
      </c>
      <c r="R106" s="98"/>
    </row>
    <row r="107" spans="1:18" ht="15.75" customHeight="1">
      <c r="A107" s="94" t="str">
        <f t="shared" si="0"/>
        <v>EPM</v>
      </c>
      <c r="B107" s="88" t="e">
        <f t="shared" si="5"/>
        <v>#REF!</v>
      </c>
      <c r="C107" s="95" t="str">
        <f>+'PARTE DIC2021'!D56</f>
        <v>EPMSCSIL Silvia</v>
      </c>
      <c r="D107" s="95" t="e">
        <f>+'PARTE DIC2021'!#REF!</f>
        <v>#REF!</v>
      </c>
      <c r="E107" s="95" t="e">
        <f>+'PARTE DIC2021'!#REF!</f>
        <v>#REF!</v>
      </c>
      <c r="F107" s="95">
        <f>+'PARTE DIC2021'!E56</f>
        <v>100</v>
      </c>
      <c r="G107" s="95">
        <f>+'PARTE DIC2021'!F56</f>
        <v>96</v>
      </c>
      <c r="H107" s="95">
        <f>+'PARTE DIC2021'!G56</f>
        <v>0</v>
      </c>
      <c r="I107" s="95">
        <f>+'PARTE DIC2021'!H56</f>
        <v>25</v>
      </c>
      <c r="J107" s="95">
        <f>+'PARTE DIC2021'!I56</f>
        <v>0</v>
      </c>
      <c r="K107" s="95">
        <f>+'PARTE DIC2021'!J56</f>
        <v>25</v>
      </c>
      <c r="L107" s="95">
        <f>+'PARTE DIC2021'!K56</f>
        <v>71</v>
      </c>
      <c r="M107" s="95">
        <f>+'PARTE DIC2021'!L56</f>
        <v>0</v>
      </c>
      <c r="N107" s="95">
        <f>+'PARTE DIC2021'!M56</f>
        <v>71</v>
      </c>
      <c r="O107" s="95">
        <f>+'PARTE DIC2021'!N56</f>
        <v>96</v>
      </c>
      <c r="P107" s="95">
        <f>+'PARTE DIC2021'!O56</f>
        <v>-4</v>
      </c>
      <c r="Q107" s="1146">
        <f>+'PARTE DIC2021'!P56</f>
        <v>-4.0000000000000036E-2</v>
      </c>
      <c r="R107" s="98"/>
    </row>
    <row r="108" spans="1:18" ht="15.75" customHeight="1">
      <c r="A108" s="94" t="str">
        <f t="shared" si="0"/>
        <v>CPM</v>
      </c>
      <c r="B108" s="88" t="e">
        <f t="shared" si="5"/>
        <v>#REF!</v>
      </c>
      <c r="C108" s="95" t="str">
        <f>+'PARTE DIC2021'!D57</f>
        <v>CPMSMPY Popayán</v>
      </c>
      <c r="D108" s="95" t="e">
        <f>+'PARTE DIC2021'!#REF!</f>
        <v>#REF!</v>
      </c>
      <c r="E108" s="95" t="e">
        <f>+'PARTE DIC2021'!#REF!</f>
        <v>#REF!</v>
      </c>
      <c r="F108" s="95">
        <f>+'PARTE DIC2021'!E57</f>
        <v>100</v>
      </c>
      <c r="G108" s="95">
        <f>+'PARTE DIC2021'!F57</f>
        <v>0</v>
      </c>
      <c r="H108" s="95">
        <f>+'PARTE DIC2021'!G57</f>
        <v>145</v>
      </c>
      <c r="I108" s="95">
        <f>+'PARTE DIC2021'!H57</f>
        <v>0</v>
      </c>
      <c r="J108" s="95">
        <f>+'PARTE DIC2021'!I57</f>
        <v>56</v>
      </c>
      <c r="K108" s="95">
        <f>+'PARTE DIC2021'!J57</f>
        <v>56</v>
      </c>
      <c r="L108" s="95">
        <f>+'PARTE DIC2021'!K57</f>
        <v>0</v>
      </c>
      <c r="M108" s="95">
        <f>+'PARTE DIC2021'!L57</f>
        <v>89</v>
      </c>
      <c r="N108" s="95">
        <f>+'PARTE DIC2021'!M57</f>
        <v>89</v>
      </c>
      <c r="O108" s="95">
        <f>+'PARTE DIC2021'!N57</f>
        <v>145</v>
      </c>
      <c r="P108" s="95">
        <f>+'PARTE DIC2021'!O57</f>
        <v>45</v>
      </c>
      <c r="Q108" s="1146">
        <f>+'PARTE DIC2021'!P57</f>
        <v>0.44999999999999996</v>
      </c>
      <c r="R108" s="98"/>
    </row>
    <row r="109" spans="1:18" ht="15.75" customHeight="1">
      <c r="A109" s="94" t="str">
        <f t="shared" si="0"/>
        <v>EPM</v>
      </c>
      <c r="B109" s="88" t="e">
        <f t="shared" si="5"/>
        <v>#REF!</v>
      </c>
      <c r="C109" s="95" t="str">
        <f>+'PARTE DIC2021'!D80</f>
        <v>EPMSCRIO Riohacha</v>
      </c>
      <c r="D109" s="95" t="e">
        <f>+'PARTE DIC2021'!#REF!</f>
        <v>#REF!</v>
      </c>
      <c r="E109" s="95" t="e">
        <f>+'PARTE DIC2021'!#REF!</f>
        <v>#REF!</v>
      </c>
      <c r="F109" s="95">
        <f>+'PARTE DIC2021'!E80</f>
        <v>100</v>
      </c>
      <c r="G109" s="95">
        <f>+'PARTE DIC2021'!F80</f>
        <v>250</v>
      </c>
      <c r="H109" s="95">
        <f>+'PARTE DIC2021'!G80</f>
        <v>0</v>
      </c>
      <c r="I109" s="95">
        <f>+'PARTE DIC2021'!H80</f>
        <v>112</v>
      </c>
      <c r="J109" s="95">
        <f>+'PARTE DIC2021'!I80</f>
        <v>0</v>
      </c>
      <c r="K109" s="95">
        <f>+'PARTE DIC2021'!J80</f>
        <v>112</v>
      </c>
      <c r="L109" s="95">
        <f>+'PARTE DIC2021'!K80</f>
        <v>138</v>
      </c>
      <c r="M109" s="95">
        <f>+'PARTE DIC2021'!L80</f>
        <v>0</v>
      </c>
      <c r="N109" s="95">
        <f>+'PARTE DIC2021'!M80</f>
        <v>138</v>
      </c>
      <c r="O109" s="95">
        <f>+'PARTE DIC2021'!N80</f>
        <v>250</v>
      </c>
      <c r="P109" s="95">
        <f>+'PARTE DIC2021'!O80</f>
        <v>150</v>
      </c>
      <c r="Q109" s="1146">
        <f>+'PARTE DIC2021'!P80</f>
        <v>1.5</v>
      </c>
      <c r="R109" s="98"/>
    </row>
    <row r="110" spans="1:18" ht="15.75" customHeight="1">
      <c r="A110" s="94" t="str">
        <f t="shared" si="0"/>
        <v>EPM</v>
      </c>
      <c r="B110" s="88" t="e">
        <f t="shared" si="5"/>
        <v>#REF!</v>
      </c>
      <c r="C110" s="95" t="str">
        <f>+'PARTE DIC2021'!D139</f>
        <v>EPMSCLIB Líbano</v>
      </c>
      <c r="D110" s="95" t="e">
        <f>+'PARTE DIC2021'!#REF!</f>
        <v>#REF!</v>
      </c>
      <c r="E110" s="95" t="e">
        <f>+'PARTE DIC2021'!#REF!</f>
        <v>#REF!</v>
      </c>
      <c r="F110" s="95">
        <f>+'PARTE DIC2021'!E139</f>
        <v>99</v>
      </c>
      <c r="G110" s="95">
        <f>+'PARTE DIC2021'!F139</f>
        <v>90</v>
      </c>
      <c r="H110" s="95">
        <f>+'PARTE DIC2021'!G139</f>
        <v>0</v>
      </c>
      <c r="I110" s="95">
        <f>+'PARTE DIC2021'!H139</f>
        <v>27</v>
      </c>
      <c r="J110" s="95">
        <f>+'PARTE DIC2021'!I139</f>
        <v>0</v>
      </c>
      <c r="K110" s="95">
        <f>+'PARTE DIC2021'!J139</f>
        <v>27</v>
      </c>
      <c r="L110" s="95">
        <f>+'PARTE DIC2021'!K139</f>
        <v>63</v>
      </c>
      <c r="M110" s="95">
        <f>+'PARTE DIC2021'!L139</f>
        <v>0</v>
      </c>
      <c r="N110" s="95">
        <f>+'PARTE DIC2021'!M139</f>
        <v>63</v>
      </c>
      <c r="O110" s="95">
        <f>+'PARTE DIC2021'!N139</f>
        <v>90</v>
      </c>
      <c r="P110" s="95">
        <f>+'PARTE DIC2021'!O139</f>
        <v>-9</v>
      </c>
      <c r="Q110" s="1146">
        <f>+'PARTE DIC2021'!P139</f>
        <v>-9.0909090909090939E-2</v>
      </c>
      <c r="R110" s="98"/>
    </row>
    <row r="111" spans="1:18" ht="15.75" customHeight="1">
      <c r="A111" s="94" t="str">
        <f t="shared" si="0"/>
        <v>CPM</v>
      </c>
      <c r="B111" s="88" t="e">
        <f t="shared" si="5"/>
        <v>#REF!</v>
      </c>
      <c r="C111" s="95" t="str">
        <f>+'PARTE DIC2021'!D33</f>
        <v>CPMSMEL Melgar</v>
      </c>
      <c r="D111" s="95" t="e">
        <f>+'PARTE DIC2021'!#REF!</f>
        <v>#REF!</v>
      </c>
      <c r="E111" s="95" t="e">
        <f>+'PARTE DIC2021'!#REF!</f>
        <v>#REF!</v>
      </c>
      <c r="F111" s="95">
        <f>+'PARTE DIC2021'!E33</f>
        <v>90</v>
      </c>
      <c r="G111" s="95">
        <f>+'PARTE DIC2021'!F33</f>
        <v>83</v>
      </c>
      <c r="H111" s="95">
        <f>+'PARTE DIC2021'!G33</f>
        <v>0</v>
      </c>
      <c r="I111" s="95">
        <f>+'PARTE DIC2021'!H33</f>
        <v>8</v>
      </c>
      <c r="J111" s="95">
        <f>+'PARTE DIC2021'!I33</f>
        <v>0</v>
      </c>
      <c r="K111" s="95">
        <f>+'PARTE DIC2021'!J33</f>
        <v>8</v>
      </c>
      <c r="L111" s="95">
        <f>+'PARTE DIC2021'!K33</f>
        <v>75</v>
      </c>
      <c r="M111" s="95">
        <f>+'PARTE DIC2021'!L33</f>
        <v>0</v>
      </c>
      <c r="N111" s="95">
        <f>+'PARTE DIC2021'!M33</f>
        <v>75</v>
      </c>
      <c r="O111" s="95">
        <f>+'PARTE DIC2021'!N33</f>
        <v>83</v>
      </c>
      <c r="P111" s="95">
        <f>+'PARTE DIC2021'!O33</f>
        <v>-7</v>
      </c>
      <c r="Q111" s="1146">
        <f>+'PARTE DIC2021'!P33</f>
        <v>-7.7777777777777724E-2</v>
      </c>
      <c r="R111" s="98"/>
    </row>
    <row r="112" spans="1:18" ht="15.75" customHeight="1">
      <c r="A112" s="94" t="str">
        <f t="shared" si="0"/>
        <v>EPM</v>
      </c>
      <c r="B112" s="88" t="e">
        <f t="shared" si="5"/>
        <v>#REF!</v>
      </c>
      <c r="C112" s="95" t="str">
        <f>+'PARTE DIC2021'!D61</f>
        <v>EPMSCTUQ Túquerres</v>
      </c>
      <c r="D112" s="95" t="e">
        <f>+'PARTE DIC2021'!#REF!</f>
        <v>#REF!</v>
      </c>
      <c r="E112" s="95" t="e">
        <f>+'PARTE DIC2021'!#REF!</f>
        <v>#REF!</v>
      </c>
      <c r="F112" s="95">
        <f>+'PARTE DIC2021'!E61</f>
        <v>88</v>
      </c>
      <c r="G112" s="95">
        <f>+'PARTE DIC2021'!F61</f>
        <v>119</v>
      </c>
      <c r="H112" s="95">
        <f>+'PARTE DIC2021'!G61</f>
        <v>0</v>
      </c>
      <c r="I112" s="95">
        <f>+'PARTE DIC2021'!H61</f>
        <v>56</v>
      </c>
      <c r="J112" s="95">
        <f>+'PARTE DIC2021'!I61</f>
        <v>0</v>
      </c>
      <c r="K112" s="95">
        <f>+'PARTE DIC2021'!J61</f>
        <v>56</v>
      </c>
      <c r="L112" s="95">
        <f>+'PARTE DIC2021'!K61</f>
        <v>63</v>
      </c>
      <c r="M112" s="95">
        <f>+'PARTE DIC2021'!L61</f>
        <v>0</v>
      </c>
      <c r="N112" s="95">
        <f>+'PARTE DIC2021'!M61</f>
        <v>63</v>
      </c>
      <c r="O112" s="95">
        <f>+'PARTE DIC2021'!N61</f>
        <v>119</v>
      </c>
      <c r="P112" s="95">
        <f>+'PARTE DIC2021'!O61</f>
        <v>31</v>
      </c>
      <c r="Q112" s="1146">
        <f>+'PARTE DIC2021'!P61</f>
        <v>0.35227272727272729</v>
      </c>
      <c r="R112" s="98"/>
    </row>
    <row r="113" spans="1:18" ht="15.75" customHeight="1">
      <c r="A113" s="94" t="str">
        <f t="shared" si="0"/>
        <v>EPM</v>
      </c>
      <c r="B113" s="88" t="e">
        <f t="shared" si="5"/>
        <v>#REF!</v>
      </c>
      <c r="C113" s="95" t="str">
        <f>+'PARTE DIC2021'!D72</f>
        <v>EPMSCSEV Sevilla</v>
      </c>
      <c r="D113" s="95" t="e">
        <f>+'PARTE DIC2021'!#REF!</f>
        <v>#REF!</v>
      </c>
      <c r="E113" s="95" t="e">
        <f>+'PARTE DIC2021'!#REF!</f>
        <v>#REF!</v>
      </c>
      <c r="F113" s="95">
        <f>+'PARTE DIC2021'!E72</f>
        <v>88</v>
      </c>
      <c r="G113" s="95">
        <f>+'PARTE DIC2021'!F72</f>
        <v>72</v>
      </c>
      <c r="H113" s="95">
        <f>+'PARTE DIC2021'!G72</f>
        <v>0</v>
      </c>
      <c r="I113" s="95">
        <f>+'PARTE DIC2021'!H72</f>
        <v>22</v>
      </c>
      <c r="J113" s="95">
        <f>+'PARTE DIC2021'!I72</f>
        <v>0</v>
      </c>
      <c r="K113" s="95">
        <f>+'PARTE DIC2021'!J72</f>
        <v>22</v>
      </c>
      <c r="L113" s="95">
        <f>+'PARTE DIC2021'!K72</f>
        <v>50</v>
      </c>
      <c r="M113" s="95">
        <f>+'PARTE DIC2021'!L72</f>
        <v>0</v>
      </c>
      <c r="N113" s="95">
        <f>+'PARTE DIC2021'!M72</f>
        <v>50</v>
      </c>
      <c r="O113" s="95">
        <f>+'PARTE DIC2021'!N72</f>
        <v>72</v>
      </c>
      <c r="P113" s="95">
        <f>+'PARTE DIC2021'!O72</f>
        <v>-16</v>
      </c>
      <c r="Q113" s="1146">
        <f>+'PARTE DIC2021'!P72</f>
        <v>-0.18181818181818177</v>
      </c>
      <c r="R113" s="98"/>
    </row>
    <row r="114" spans="1:18" ht="15.75" customHeight="1">
      <c r="A114" s="94" t="str">
        <f t="shared" si="0"/>
        <v>EPM</v>
      </c>
      <c r="B114" s="88" t="e">
        <f t="shared" si="5"/>
        <v>#REF!</v>
      </c>
      <c r="C114" s="95" t="str">
        <f>+'PARTE DIC2021'!D137</f>
        <v>EPMSCFRN Fresno</v>
      </c>
      <c r="D114" s="95" t="e">
        <f>+'PARTE DIC2021'!#REF!</f>
        <v>#REF!</v>
      </c>
      <c r="E114" s="95" t="e">
        <f>+'PARTE DIC2021'!#REF!</f>
        <v>#REF!</v>
      </c>
      <c r="F114" s="95">
        <f>+'PARTE DIC2021'!E137</f>
        <v>88</v>
      </c>
      <c r="G114" s="95">
        <f>+'PARTE DIC2021'!F137</f>
        <v>120</v>
      </c>
      <c r="H114" s="95">
        <f>+'PARTE DIC2021'!G137</f>
        <v>0</v>
      </c>
      <c r="I114" s="95">
        <f>+'PARTE DIC2021'!H137</f>
        <v>23</v>
      </c>
      <c r="J114" s="95">
        <f>+'PARTE DIC2021'!I137</f>
        <v>0</v>
      </c>
      <c r="K114" s="95">
        <f>+'PARTE DIC2021'!J137</f>
        <v>23</v>
      </c>
      <c r="L114" s="95">
        <f>+'PARTE DIC2021'!K137</f>
        <v>97</v>
      </c>
      <c r="M114" s="95">
        <f>+'PARTE DIC2021'!L137</f>
        <v>0</v>
      </c>
      <c r="N114" s="95">
        <f>+'PARTE DIC2021'!M137</f>
        <v>97</v>
      </c>
      <c r="O114" s="95">
        <f>+'PARTE DIC2021'!N137</f>
        <v>120</v>
      </c>
      <c r="P114" s="95">
        <f>+'PARTE DIC2021'!O137</f>
        <v>32</v>
      </c>
      <c r="Q114" s="1146">
        <f>+'PARTE DIC2021'!P137</f>
        <v>0.36363636363636354</v>
      </c>
      <c r="R114" s="98"/>
    </row>
    <row r="115" spans="1:18" ht="15.75" customHeight="1">
      <c r="A115" s="94" t="str">
        <f t="shared" si="0"/>
        <v>EPM</v>
      </c>
      <c r="B115" s="88" t="e">
        <f t="shared" si="5"/>
        <v>#REF!</v>
      </c>
      <c r="C115" s="95" t="str">
        <f>+'PARTE DIC2021'!D60</f>
        <v>EPMSCLUN La Unión</v>
      </c>
      <c r="D115" s="95" t="e">
        <f>+'PARTE DIC2021'!#REF!</f>
        <v>#REF!</v>
      </c>
      <c r="E115" s="95" t="e">
        <f>+'PARTE DIC2021'!#REF!</f>
        <v>#REF!</v>
      </c>
      <c r="F115" s="95">
        <f>+'PARTE DIC2021'!E60</f>
        <v>84</v>
      </c>
      <c r="G115" s="95">
        <f>+'PARTE DIC2021'!F60</f>
        <v>81</v>
      </c>
      <c r="H115" s="95">
        <f>+'PARTE DIC2021'!G60</f>
        <v>0</v>
      </c>
      <c r="I115" s="95">
        <f>+'PARTE DIC2021'!H60</f>
        <v>15</v>
      </c>
      <c r="J115" s="95">
        <f>+'PARTE DIC2021'!I60</f>
        <v>0</v>
      </c>
      <c r="K115" s="95">
        <f>+'PARTE DIC2021'!J60</f>
        <v>15</v>
      </c>
      <c r="L115" s="95">
        <f>+'PARTE DIC2021'!K60</f>
        <v>66</v>
      </c>
      <c r="M115" s="95">
        <f>+'PARTE DIC2021'!L60</f>
        <v>0</v>
      </c>
      <c r="N115" s="95">
        <f>+'PARTE DIC2021'!M60</f>
        <v>66</v>
      </c>
      <c r="O115" s="95">
        <f>+'PARTE DIC2021'!N60</f>
        <v>81</v>
      </c>
      <c r="P115" s="95">
        <f>+'PARTE DIC2021'!O60</f>
        <v>-3</v>
      </c>
      <c r="Q115" s="1146">
        <f>+'PARTE DIC2021'!P60</f>
        <v>-3.5714285714285698E-2</v>
      </c>
      <c r="R115" s="98"/>
    </row>
    <row r="116" spans="1:18" ht="15.75" customHeight="1">
      <c r="A116" s="94" t="str">
        <f t="shared" si="0"/>
        <v>CPM</v>
      </c>
      <c r="B116" s="88" t="e">
        <f t="shared" si="5"/>
        <v>#REF!</v>
      </c>
      <c r="C116" s="95" t="str">
        <f>+'PARTE DIC2021'!D108</f>
        <v>CPMSJER Jerico</v>
      </c>
      <c r="D116" s="95" t="e">
        <f>+'PARTE DIC2021'!#REF!</f>
        <v>#REF!</v>
      </c>
      <c r="E116" s="95" t="e">
        <f>+'PARTE DIC2021'!#REF!</f>
        <v>#REF!</v>
      </c>
      <c r="F116" s="95">
        <f>+'PARTE DIC2021'!E108</f>
        <v>83</v>
      </c>
      <c r="G116" s="95">
        <f>+'PARTE DIC2021'!F108</f>
        <v>99</v>
      </c>
      <c r="H116" s="95">
        <f>+'PARTE DIC2021'!G108</f>
        <v>0</v>
      </c>
      <c r="I116" s="95">
        <f>+'PARTE DIC2021'!H108</f>
        <v>10</v>
      </c>
      <c r="J116" s="95">
        <f>+'PARTE DIC2021'!I108</f>
        <v>0</v>
      </c>
      <c r="K116" s="95">
        <f>+'PARTE DIC2021'!J108</f>
        <v>10</v>
      </c>
      <c r="L116" s="95">
        <f>+'PARTE DIC2021'!K108</f>
        <v>89</v>
      </c>
      <c r="M116" s="95">
        <f>+'PARTE DIC2021'!L108</f>
        <v>0</v>
      </c>
      <c r="N116" s="95">
        <f>+'PARTE DIC2021'!M108</f>
        <v>89</v>
      </c>
      <c r="O116" s="95">
        <f>+'PARTE DIC2021'!N108</f>
        <v>99</v>
      </c>
      <c r="P116" s="95">
        <f>+'PARTE DIC2021'!O108</f>
        <v>16</v>
      </c>
      <c r="Q116" s="1146">
        <f>+'PARTE DIC2021'!P108</f>
        <v>0.19277108433734935</v>
      </c>
      <c r="R116" s="98"/>
    </row>
    <row r="117" spans="1:18" ht="15.75" customHeight="1">
      <c r="A117" s="94" t="str">
        <f t="shared" si="0"/>
        <v>EPM</v>
      </c>
      <c r="B117" s="88" t="e">
        <f t="shared" si="5"/>
        <v>#REF!</v>
      </c>
      <c r="C117" s="95" t="str">
        <f>+'PARTE DIC2021'!D119</f>
        <v>EPMSCIST Istmina</v>
      </c>
      <c r="D117" s="95" t="e">
        <f>+'PARTE DIC2021'!#REF!</f>
        <v>#REF!</v>
      </c>
      <c r="E117" s="95" t="e">
        <f>+'PARTE DIC2021'!#REF!</f>
        <v>#REF!</v>
      </c>
      <c r="F117" s="95">
        <f>+'PARTE DIC2021'!E119</f>
        <v>81</v>
      </c>
      <c r="G117" s="95">
        <f>+'PARTE DIC2021'!F119</f>
        <v>80</v>
      </c>
      <c r="H117" s="95">
        <f>+'PARTE DIC2021'!G119</f>
        <v>0</v>
      </c>
      <c r="I117" s="95">
        <f>+'PARTE DIC2021'!H119</f>
        <v>29</v>
      </c>
      <c r="J117" s="95">
        <f>+'PARTE DIC2021'!I119</f>
        <v>0</v>
      </c>
      <c r="K117" s="95">
        <f>+'PARTE DIC2021'!J119</f>
        <v>29</v>
      </c>
      <c r="L117" s="95">
        <f>+'PARTE DIC2021'!K119</f>
        <v>51</v>
      </c>
      <c r="M117" s="95">
        <f>+'PARTE DIC2021'!L119</f>
        <v>0</v>
      </c>
      <c r="N117" s="95">
        <f>+'PARTE DIC2021'!M119</f>
        <v>51</v>
      </c>
      <c r="O117" s="95">
        <f>+'PARTE DIC2021'!N119</f>
        <v>80</v>
      </c>
      <c r="P117" s="95">
        <f>+'PARTE DIC2021'!O119</f>
        <v>-1</v>
      </c>
      <c r="Q117" s="1146">
        <f>+'PARTE DIC2021'!P119</f>
        <v>-1.2345679012345734E-2</v>
      </c>
      <c r="R117" s="98"/>
    </row>
    <row r="118" spans="1:18" ht="15.75" customHeight="1">
      <c r="A118" s="94" t="str">
        <f t="shared" si="0"/>
        <v>EPM</v>
      </c>
      <c r="B118" s="88" t="e">
        <f t="shared" si="5"/>
        <v>#REF!</v>
      </c>
      <c r="C118" s="95" t="str">
        <f>+'PARTE DIC2021'!D90</f>
        <v>EPMSCAGU Aguachica</v>
      </c>
      <c r="D118" s="95" t="e">
        <f>+'PARTE DIC2021'!#REF!</f>
        <v>#REF!</v>
      </c>
      <c r="E118" s="95" t="e">
        <f>+'PARTE DIC2021'!#REF!</f>
        <v>#REF!</v>
      </c>
      <c r="F118" s="95">
        <f>+'PARTE DIC2021'!E90</f>
        <v>78</v>
      </c>
      <c r="G118" s="95">
        <f>+'PARTE DIC2021'!F90</f>
        <v>154</v>
      </c>
      <c r="H118" s="95">
        <f>+'PARTE DIC2021'!G90</f>
        <v>0</v>
      </c>
      <c r="I118" s="95">
        <f>+'PARTE DIC2021'!H90</f>
        <v>19</v>
      </c>
      <c r="J118" s="95">
        <f>+'PARTE DIC2021'!I90</f>
        <v>0</v>
      </c>
      <c r="K118" s="95">
        <f>+'PARTE DIC2021'!J90</f>
        <v>19</v>
      </c>
      <c r="L118" s="95">
        <f>+'PARTE DIC2021'!K90</f>
        <v>135</v>
      </c>
      <c r="M118" s="95">
        <f>+'PARTE DIC2021'!L90</f>
        <v>0</v>
      </c>
      <c r="N118" s="95">
        <f>+'PARTE DIC2021'!M90</f>
        <v>135</v>
      </c>
      <c r="O118" s="95">
        <f>+'PARTE DIC2021'!N90</f>
        <v>154</v>
      </c>
      <c r="P118" s="95">
        <f>+'PARTE DIC2021'!O90</f>
        <v>76</v>
      </c>
      <c r="Q118" s="1146">
        <f>+'PARTE DIC2021'!P90</f>
        <v>0.97435897435897445</v>
      </c>
      <c r="R118" s="98"/>
    </row>
    <row r="119" spans="1:18" ht="15.75" customHeight="1">
      <c r="A119" s="94" t="str">
        <f t="shared" si="0"/>
        <v>EPM</v>
      </c>
      <c r="B119" s="88" t="e">
        <f t="shared" si="5"/>
        <v>#REF!</v>
      </c>
      <c r="C119" s="95" t="str">
        <f>+'PARTE DIC2021'!D82</f>
        <v>EPMSCEBA El Banco</v>
      </c>
      <c r="D119" s="95" t="e">
        <f>+'PARTE DIC2021'!#REF!</f>
        <v>#REF!</v>
      </c>
      <c r="E119" s="95" t="e">
        <f>+'PARTE DIC2021'!#REF!</f>
        <v>#REF!</v>
      </c>
      <c r="F119" s="95">
        <f>+'PARTE DIC2021'!E82</f>
        <v>76</v>
      </c>
      <c r="G119" s="95">
        <f>+'PARTE DIC2021'!F82</f>
        <v>75</v>
      </c>
      <c r="H119" s="95">
        <f>+'PARTE DIC2021'!G82</f>
        <v>0</v>
      </c>
      <c r="I119" s="95">
        <f>+'PARTE DIC2021'!H82</f>
        <v>29</v>
      </c>
      <c r="J119" s="95">
        <f>+'PARTE DIC2021'!I82</f>
        <v>0</v>
      </c>
      <c r="K119" s="95">
        <f>+'PARTE DIC2021'!J82</f>
        <v>29</v>
      </c>
      <c r="L119" s="95">
        <f>+'PARTE DIC2021'!K82</f>
        <v>46</v>
      </c>
      <c r="M119" s="95">
        <f>+'PARTE DIC2021'!L82</f>
        <v>0</v>
      </c>
      <c r="N119" s="95">
        <f>+'PARTE DIC2021'!M82</f>
        <v>46</v>
      </c>
      <c r="O119" s="95">
        <f>+'PARTE DIC2021'!N82</f>
        <v>75</v>
      </c>
      <c r="P119" s="95">
        <f>+'PARTE DIC2021'!O82</f>
        <v>-1</v>
      </c>
      <c r="Q119" s="1146">
        <f>+'PARTE DIC2021'!P82</f>
        <v>-1.3157894736842146E-2</v>
      </c>
      <c r="R119" s="98"/>
    </row>
    <row r="120" spans="1:18" ht="15.75" customHeight="1">
      <c r="A120" s="94" t="str">
        <f t="shared" si="0"/>
        <v>EPM</v>
      </c>
      <c r="B120" s="88" t="e">
        <f t="shared" si="5"/>
        <v>#REF!</v>
      </c>
      <c r="C120" s="95" t="str">
        <f>+'PARTE DIC2021'!D113</f>
        <v>EPMSCSRO Santa Rosa de Osos</v>
      </c>
      <c r="D120" s="95" t="e">
        <f>+'PARTE DIC2021'!#REF!</f>
        <v>#REF!</v>
      </c>
      <c r="E120" s="95" t="e">
        <f>+'PARTE DIC2021'!#REF!</f>
        <v>#REF!</v>
      </c>
      <c r="F120" s="95">
        <f>+'PARTE DIC2021'!E113</f>
        <v>76</v>
      </c>
      <c r="G120" s="95">
        <f>+'PARTE DIC2021'!F113</f>
        <v>111</v>
      </c>
      <c r="H120" s="95">
        <f>+'PARTE DIC2021'!G113</f>
        <v>0</v>
      </c>
      <c r="I120" s="95">
        <f>+'PARTE DIC2021'!H113</f>
        <v>16</v>
      </c>
      <c r="J120" s="95">
        <f>+'PARTE DIC2021'!I113</f>
        <v>0</v>
      </c>
      <c r="K120" s="95">
        <f>+'PARTE DIC2021'!J113</f>
        <v>16</v>
      </c>
      <c r="L120" s="95">
        <f>+'PARTE DIC2021'!K113</f>
        <v>95</v>
      </c>
      <c r="M120" s="95">
        <f>+'PARTE DIC2021'!L113</f>
        <v>0</v>
      </c>
      <c r="N120" s="95">
        <f>+'PARTE DIC2021'!M113</f>
        <v>95</v>
      </c>
      <c r="O120" s="95">
        <f>+'PARTE DIC2021'!N113</f>
        <v>111</v>
      </c>
      <c r="P120" s="95">
        <f>+'PARTE DIC2021'!O113</f>
        <v>35</v>
      </c>
      <c r="Q120" s="1146">
        <f>+'PARTE DIC2021'!P113</f>
        <v>0.46052631578947367</v>
      </c>
      <c r="R120" s="98"/>
    </row>
    <row r="121" spans="1:18" ht="15.75" customHeight="1">
      <c r="A121" s="94" t="str">
        <f t="shared" si="0"/>
        <v>EPM</v>
      </c>
      <c r="B121" s="88" t="e">
        <f t="shared" si="5"/>
        <v>#REF!</v>
      </c>
      <c r="C121" s="95" t="str">
        <f>+'PARTE DIC2021'!D114</f>
        <v>EPMSCSON Sonson</v>
      </c>
      <c r="D121" s="95" t="e">
        <f>+'PARTE DIC2021'!#REF!</f>
        <v>#REF!</v>
      </c>
      <c r="E121" s="95" t="e">
        <f>+'PARTE DIC2021'!#REF!</f>
        <v>#REF!</v>
      </c>
      <c r="F121" s="95">
        <f>+'PARTE DIC2021'!E114</f>
        <v>75</v>
      </c>
      <c r="G121" s="95">
        <f>+'PARTE DIC2021'!F114</f>
        <v>114</v>
      </c>
      <c r="H121" s="95">
        <f>+'PARTE DIC2021'!G114</f>
        <v>0</v>
      </c>
      <c r="I121" s="95">
        <f>+'PARTE DIC2021'!H114</f>
        <v>6</v>
      </c>
      <c r="J121" s="95">
        <f>+'PARTE DIC2021'!I114</f>
        <v>0</v>
      </c>
      <c r="K121" s="95">
        <f>+'PARTE DIC2021'!J114</f>
        <v>6</v>
      </c>
      <c r="L121" s="95">
        <f>+'PARTE DIC2021'!K114</f>
        <v>108</v>
      </c>
      <c r="M121" s="95">
        <f>+'PARTE DIC2021'!L114</f>
        <v>0</v>
      </c>
      <c r="N121" s="95">
        <f>+'PARTE DIC2021'!M114</f>
        <v>108</v>
      </c>
      <c r="O121" s="95">
        <f>+'PARTE DIC2021'!N114</f>
        <v>114</v>
      </c>
      <c r="P121" s="95">
        <f>+'PARTE DIC2021'!O114</f>
        <v>39</v>
      </c>
      <c r="Q121" s="1146">
        <f>+'PARTE DIC2021'!P114</f>
        <v>0.52</v>
      </c>
      <c r="R121" s="98"/>
    </row>
    <row r="122" spans="1:18" ht="15.75" customHeight="1">
      <c r="A122" s="94" t="str">
        <f t="shared" si="0"/>
        <v>CPM</v>
      </c>
      <c r="B122" s="88" t="e">
        <f t="shared" si="5"/>
        <v>#REF!</v>
      </c>
      <c r="C122" s="95" t="str">
        <f>+'PARTE DIC2021'!D16</f>
        <v>CPMSMOQ Moniquirá</v>
      </c>
      <c r="D122" s="95" t="e">
        <f>+'PARTE DIC2021'!#REF!</f>
        <v>#REF!</v>
      </c>
      <c r="E122" s="95" t="e">
        <f>+'PARTE DIC2021'!#REF!</f>
        <v>#REF!</v>
      </c>
      <c r="F122" s="95">
        <f>+'PARTE DIC2021'!E16</f>
        <v>73</v>
      </c>
      <c r="G122" s="95">
        <f>+'PARTE DIC2021'!F16</f>
        <v>102</v>
      </c>
      <c r="H122" s="95">
        <f>+'PARTE DIC2021'!G16</f>
        <v>0</v>
      </c>
      <c r="I122" s="95">
        <f>+'PARTE DIC2021'!H16</f>
        <v>17</v>
      </c>
      <c r="J122" s="95">
        <f>+'PARTE DIC2021'!I16</f>
        <v>0</v>
      </c>
      <c r="K122" s="95">
        <f>+'PARTE DIC2021'!J16</f>
        <v>17</v>
      </c>
      <c r="L122" s="95">
        <f>+'PARTE DIC2021'!K16</f>
        <v>85</v>
      </c>
      <c r="M122" s="95">
        <f>+'PARTE DIC2021'!L16</f>
        <v>0</v>
      </c>
      <c r="N122" s="95">
        <f>+'PARTE DIC2021'!M16</f>
        <v>85</v>
      </c>
      <c r="O122" s="95">
        <f>+'PARTE DIC2021'!N16</f>
        <v>102</v>
      </c>
      <c r="P122" s="95">
        <f>+'PARTE DIC2021'!O16</f>
        <v>29</v>
      </c>
      <c r="Q122" s="1146">
        <f>+'PARTE DIC2021'!P16</f>
        <v>0.39726027397260277</v>
      </c>
      <c r="R122" s="98"/>
    </row>
    <row r="123" spans="1:18" ht="15.75" customHeight="1">
      <c r="A123" s="94" t="str">
        <f t="shared" si="0"/>
        <v>EPM</v>
      </c>
      <c r="B123" s="88" t="e">
        <f t="shared" si="5"/>
        <v>#REF!</v>
      </c>
      <c r="C123" s="95" t="str">
        <f>+'PARTE DIC2021'!D77</f>
        <v>EPMSCMAG Magangué</v>
      </c>
      <c r="D123" s="95" t="e">
        <f>+'PARTE DIC2021'!#REF!</f>
        <v>#REF!</v>
      </c>
      <c r="E123" s="95" t="e">
        <f>+'PARTE DIC2021'!#REF!</f>
        <v>#REF!</v>
      </c>
      <c r="F123" s="95">
        <f>+'PARTE DIC2021'!E77</f>
        <v>72</v>
      </c>
      <c r="G123" s="95">
        <f>+'PARTE DIC2021'!F77</f>
        <v>91</v>
      </c>
      <c r="H123" s="95">
        <f>+'PARTE DIC2021'!G77</f>
        <v>0</v>
      </c>
      <c r="I123" s="95">
        <f>+'PARTE DIC2021'!H77</f>
        <v>22</v>
      </c>
      <c r="J123" s="95">
        <f>+'PARTE DIC2021'!I77</f>
        <v>0</v>
      </c>
      <c r="K123" s="95">
        <f>+'PARTE DIC2021'!J77</f>
        <v>22</v>
      </c>
      <c r="L123" s="95">
        <f>+'PARTE DIC2021'!K77</f>
        <v>69</v>
      </c>
      <c r="M123" s="95">
        <f>+'PARTE DIC2021'!L77</f>
        <v>0</v>
      </c>
      <c r="N123" s="95">
        <f>+'PARTE DIC2021'!M77</f>
        <v>69</v>
      </c>
      <c r="O123" s="95">
        <f>+'PARTE DIC2021'!N77</f>
        <v>91</v>
      </c>
      <c r="P123" s="95">
        <f>+'PARTE DIC2021'!O77</f>
        <v>19</v>
      </c>
      <c r="Q123" s="1146">
        <f>+'PARTE DIC2021'!P77</f>
        <v>0.26388888888888884</v>
      </c>
      <c r="R123" s="98"/>
    </row>
    <row r="124" spans="1:18" ht="15.75" customHeight="1">
      <c r="A124" s="94" t="str">
        <f t="shared" si="0"/>
        <v>CPM</v>
      </c>
      <c r="B124" s="88" t="e">
        <f t="shared" si="5"/>
        <v>#REF!</v>
      </c>
      <c r="C124" s="95" t="str">
        <f>+'PARTE DIC2021'!D27</f>
        <v>CPMSVILL Villeta</v>
      </c>
      <c r="D124" s="95" t="e">
        <f>+'PARTE DIC2021'!#REF!</f>
        <v>#REF!</v>
      </c>
      <c r="E124" s="95" t="e">
        <f>+'PARTE DIC2021'!#REF!</f>
        <v>#REF!</v>
      </c>
      <c r="F124" s="95">
        <f>+'PARTE DIC2021'!E27</f>
        <v>70</v>
      </c>
      <c r="G124" s="95">
        <f>+'PARTE DIC2021'!F27</f>
        <v>86</v>
      </c>
      <c r="H124" s="95">
        <f>+'PARTE DIC2021'!G27</f>
        <v>0</v>
      </c>
      <c r="I124" s="95">
        <f>+'PARTE DIC2021'!H27</f>
        <v>43</v>
      </c>
      <c r="J124" s="95">
        <f>+'PARTE DIC2021'!I27</f>
        <v>0</v>
      </c>
      <c r="K124" s="95">
        <f>+'PARTE DIC2021'!J27</f>
        <v>43</v>
      </c>
      <c r="L124" s="95">
        <f>+'PARTE DIC2021'!K27</f>
        <v>43</v>
      </c>
      <c r="M124" s="95">
        <f>+'PARTE DIC2021'!L27</f>
        <v>0</v>
      </c>
      <c r="N124" s="95">
        <f>+'PARTE DIC2021'!M27</f>
        <v>43</v>
      </c>
      <c r="O124" s="95">
        <f>+'PARTE DIC2021'!N27</f>
        <v>86</v>
      </c>
      <c r="P124" s="95">
        <f>+'PARTE DIC2021'!O27</f>
        <v>16</v>
      </c>
      <c r="Q124" s="1146">
        <f>+'PARTE DIC2021'!P27</f>
        <v>0.22857142857142865</v>
      </c>
      <c r="R124" s="98"/>
    </row>
    <row r="125" spans="1:18" ht="15.75" customHeight="1">
      <c r="A125" s="94" t="str">
        <f t="shared" si="0"/>
        <v>EPM</v>
      </c>
      <c r="B125" s="88" t="e">
        <f t="shared" si="5"/>
        <v>#REF!</v>
      </c>
      <c r="C125" s="95" t="str">
        <f>+'PARTE DIC2021'!D54</f>
        <v>EPMSCPTE Puerto Tejada</v>
      </c>
      <c r="D125" s="95" t="e">
        <f>+'PARTE DIC2021'!#REF!</f>
        <v>#REF!</v>
      </c>
      <c r="E125" s="95" t="e">
        <f>+'PARTE DIC2021'!#REF!</f>
        <v>#REF!</v>
      </c>
      <c r="F125" s="95">
        <f>+'PARTE DIC2021'!E54</f>
        <v>64</v>
      </c>
      <c r="G125" s="95">
        <f>+'PARTE DIC2021'!F54</f>
        <v>0</v>
      </c>
      <c r="H125" s="95">
        <f>+'PARTE DIC2021'!G54</f>
        <v>0</v>
      </c>
      <c r="I125" s="95">
        <f>+'PARTE DIC2021'!H54</f>
        <v>0</v>
      </c>
      <c r="J125" s="95">
        <f>+'PARTE DIC2021'!I54</f>
        <v>0</v>
      </c>
      <c r="K125" s="95">
        <f>+'PARTE DIC2021'!J54</f>
        <v>0</v>
      </c>
      <c r="L125" s="95">
        <f>+'PARTE DIC2021'!K54</f>
        <v>0</v>
      </c>
      <c r="M125" s="95">
        <f>+'PARTE DIC2021'!L54</f>
        <v>0</v>
      </c>
      <c r="N125" s="95">
        <f>+'PARTE DIC2021'!M54</f>
        <v>0</v>
      </c>
      <c r="O125" s="95">
        <f>+'PARTE DIC2021'!N54</f>
        <v>0</v>
      </c>
      <c r="P125" s="95">
        <f>+'PARTE DIC2021'!O54</f>
        <v>-64</v>
      </c>
      <c r="Q125" s="1146">
        <f>+'PARTE DIC2021'!P54</f>
        <v>-1</v>
      </c>
      <c r="R125" s="98"/>
    </row>
    <row r="126" spans="1:18" ht="15.75" customHeight="1">
      <c r="A126" s="94" t="str">
        <f t="shared" si="0"/>
        <v>EPM</v>
      </c>
      <c r="B126" s="88" t="e">
        <f t="shared" si="5"/>
        <v>#REF!</v>
      </c>
      <c r="C126" s="95" t="str">
        <f>+'PARTE DIC2021'!D107</f>
        <v>EPMSCCAU Caucasia</v>
      </c>
      <c r="D126" s="95" t="e">
        <f>+'PARTE DIC2021'!#REF!</f>
        <v>#REF!</v>
      </c>
      <c r="E126" s="95" t="e">
        <f>+'PARTE DIC2021'!#REF!</f>
        <v>#REF!</v>
      </c>
      <c r="F126" s="95">
        <f>+'PARTE DIC2021'!E107</f>
        <v>63</v>
      </c>
      <c r="G126" s="95">
        <f>+'PARTE DIC2021'!F107</f>
        <v>138</v>
      </c>
      <c r="H126" s="95">
        <f>+'PARTE DIC2021'!G107</f>
        <v>0</v>
      </c>
      <c r="I126" s="95">
        <f>+'PARTE DIC2021'!H107</f>
        <v>21</v>
      </c>
      <c r="J126" s="95">
        <f>+'PARTE DIC2021'!I107</f>
        <v>0</v>
      </c>
      <c r="K126" s="95">
        <f>+'PARTE DIC2021'!J107</f>
        <v>21</v>
      </c>
      <c r="L126" s="95">
        <f>+'PARTE DIC2021'!K107</f>
        <v>117</v>
      </c>
      <c r="M126" s="95">
        <f>+'PARTE DIC2021'!L107</f>
        <v>0</v>
      </c>
      <c r="N126" s="95">
        <f>+'PARTE DIC2021'!M107</f>
        <v>117</v>
      </c>
      <c r="O126" s="95">
        <f>+'PARTE DIC2021'!N107</f>
        <v>138</v>
      </c>
      <c r="P126" s="95">
        <f>+'PARTE DIC2021'!O107</f>
        <v>75</v>
      </c>
      <c r="Q126" s="1146">
        <f>+'PARTE DIC2021'!P107</f>
        <v>1.1904761904761907</v>
      </c>
      <c r="R126" s="98"/>
    </row>
    <row r="127" spans="1:18" ht="15.75" customHeight="1">
      <c r="A127" s="94" t="str">
        <f t="shared" si="0"/>
        <v>EPM</v>
      </c>
      <c r="B127" s="88" t="e">
        <f t="shared" si="5"/>
        <v>#REF!</v>
      </c>
      <c r="C127" s="95" t="str">
        <f>+'PARTE DIC2021'!D115</f>
        <v>EPMSCTAM Támesis</v>
      </c>
      <c r="D127" s="95" t="e">
        <f>+'PARTE DIC2021'!#REF!</f>
        <v>#REF!</v>
      </c>
      <c r="E127" s="95" t="e">
        <f>+'PARTE DIC2021'!#REF!</f>
        <v>#REF!</v>
      </c>
      <c r="F127" s="95">
        <f>+'PARTE DIC2021'!E115</f>
        <v>62</v>
      </c>
      <c r="G127" s="95">
        <f>+'PARTE DIC2021'!F115</f>
        <v>85</v>
      </c>
      <c r="H127" s="95">
        <f>+'PARTE DIC2021'!G115</f>
        <v>0</v>
      </c>
      <c r="I127" s="95">
        <f>+'PARTE DIC2021'!H115</f>
        <v>5</v>
      </c>
      <c r="J127" s="95">
        <f>+'PARTE DIC2021'!I115</f>
        <v>0</v>
      </c>
      <c r="K127" s="95">
        <f>+'PARTE DIC2021'!J115</f>
        <v>5</v>
      </c>
      <c r="L127" s="95">
        <f>+'PARTE DIC2021'!K115</f>
        <v>80</v>
      </c>
      <c r="M127" s="95">
        <f>+'PARTE DIC2021'!L115</f>
        <v>0</v>
      </c>
      <c r="N127" s="95">
        <f>+'PARTE DIC2021'!M115</f>
        <v>80</v>
      </c>
      <c r="O127" s="95">
        <f>+'PARTE DIC2021'!N115</f>
        <v>85</v>
      </c>
      <c r="P127" s="95">
        <f>+'PARTE DIC2021'!O115</f>
        <v>23</v>
      </c>
      <c r="Q127" s="1146">
        <f>+'PARTE DIC2021'!P115</f>
        <v>0.37096774193548376</v>
      </c>
      <c r="R127" s="98"/>
    </row>
    <row r="128" spans="1:18" ht="15.75" customHeight="1">
      <c r="A128" s="94" t="str">
        <f t="shared" si="0"/>
        <v>CPM</v>
      </c>
      <c r="B128" s="88" t="e">
        <f t="shared" si="5"/>
        <v>#REF!</v>
      </c>
      <c r="C128" s="95" t="str">
        <f>+'PARTE DIC2021'!D25</f>
        <v>CPMSLMS La Mesa</v>
      </c>
      <c r="D128" s="95" t="e">
        <f>+'PARTE DIC2021'!#REF!</f>
        <v>#REF!</v>
      </c>
      <c r="E128" s="95" t="e">
        <f>+'PARTE DIC2021'!#REF!</f>
        <v>#REF!</v>
      </c>
      <c r="F128" s="95">
        <f>+'PARTE DIC2021'!E25</f>
        <v>60</v>
      </c>
      <c r="G128" s="95">
        <f>+'PARTE DIC2021'!F25</f>
        <v>110</v>
      </c>
      <c r="H128" s="95">
        <f>+'PARTE DIC2021'!G25</f>
        <v>0</v>
      </c>
      <c r="I128" s="95">
        <f>+'PARTE DIC2021'!H25</f>
        <v>12</v>
      </c>
      <c r="J128" s="95">
        <f>+'PARTE DIC2021'!I25</f>
        <v>0</v>
      </c>
      <c r="K128" s="95">
        <f>+'PARTE DIC2021'!J25</f>
        <v>12</v>
      </c>
      <c r="L128" s="95">
        <f>+'PARTE DIC2021'!K25</f>
        <v>98</v>
      </c>
      <c r="M128" s="95">
        <f>+'PARTE DIC2021'!L25</f>
        <v>0</v>
      </c>
      <c r="N128" s="95">
        <f>+'PARTE DIC2021'!M25</f>
        <v>98</v>
      </c>
      <c r="O128" s="95">
        <f>+'PARTE DIC2021'!N25</f>
        <v>110</v>
      </c>
      <c r="P128" s="95">
        <f>+'PARTE DIC2021'!O25</f>
        <v>50</v>
      </c>
      <c r="Q128" s="1146">
        <f>+'PARTE DIC2021'!P25</f>
        <v>0.83333333333333326</v>
      </c>
      <c r="R128" s="98"/>
    </row>
    <row r="129" spans="1:18" ht="15.75" customHeight="1">
      <c r="A129" s="94" t="str">
        <f t="shared" si="0"/>
        <v>EPM</v>
      </c>
      <c r="B129" s="88" t="e">
        <f t="shared" si="5"/>
        <v>#REF!</v>
      </c>
      <c r="C129" s="95" t="str">
        <f>+'PARTE DIC2021'!D95</f>
        <v>EPMSCMAL Málaga</v>
      </c>
      <c r="D129" s="95" t="e">
        <f>+'PARTE DIC2021'!#REF!</f>
        <v>#REF!</v>
      </c>
      <c r="E129" s="95" t="e">
        <f>+'PARTE DIC2021'!#REF!</f>
        <v>#REF!</v>
      </c>
      <c r="F129" s="95">
        <f>+'PARTE DIC2021'!E95</f>
        <v>60</v>
      </c>
      <c r="G129" s="95">
        <f>+'PARTE DIC2021'!F95</f>
        <v>86</v>
      </c>
      <c r="H129" s="95">
        <f>+'PARTE DIC2021'!G95</f>
        <v>0</v>
      </c>
      <c r="I129" s="95">
        <f>+'PARTE DIC2021'!H95</f>
        <v>24</v>
      </c>
      <c r="J129" s="95">
        <f>+'PARTE DIC2021'!I95</f>
        <v>0</v>
      </c>
      <c r="K129" s="95">
        <f>+'PARTE DIC2021'!J95</f>
        <v>24</v>
      </c>
      <c r="L129" s="95">
        <f>+'PARTE DIC2021'!K95</f>
        <v>62</v>
      </c>
      <c r="M129" s="95">
        <f>+'PARTE DIC2021'!L95</f>
        <v>0</v>
      </c>
      <c r="N129" s="95">
        <f>+'PARTE DIC2021'!M95</f>
        <v>62</v>
      </c>
      <c r="O129" s="95">
        <f>+'PARTE DIC2021'!N95</f>
        <v>86</v>
      </c>
      <c r="P129" s="95">
        <f>+'PARTE DIC2021'!O95</f>
        <v>26</v>
      </c>
      <c r="Q129" s="1146">
        <f>+'PARTE DIC2021'!P95</f>
        <v>0.43333333333333335</v>
      </c>
      <c r="R129" s="98"/>
    </row>
    <row r="130" spans="1:18" ht="15.75" customHeight="1">
      <c r="A130" s="94" t="str">
        <f t="shared" si="0"/>
        <v>CPM</v>
      </c>
      <c r="B130" s="88" t="e">
        <f t="shared" si="5"/>
        <v>#REF!</v>
      </c>
      <c r="C130" s="95" t="str">
        <f>+'PARTE DIC2021'!D24</f>
        <v>CPMSGAC Gachetá</v>
      </c>
      <c r="D130" s="95" t="e">
        <f>+'PARTE DIC2021'!#REF!</f>
        <v>#REF!</v>
      </c>
      <c r="E130" s="95" t="e">
        <f>+'PARTE DIC2021'!#REF!</f>
        <v>#REF!</v>
      </c>
      <c r="F130" s="95">
        <f>+'PARTE DIC2021'!E24</f>
        <v>58</v>
      </c>
      <c r="G130" s="95">
        <f>+'PARTE DIC2021'!F24</f>
        <v>50</v>
      </c>
      <c r="H130" s="95">
        <f>+'PARTE DIC2021'!G24</f>
        <v>0</v>
      </c>
      <c r="I130" s="95">
        <f>+'PARTE DIC2021'!H24</f>
        <v>12</v>
      </c>
      <c r="J130" s="95">
        <f>+'PARTE DIC2021'!I24</f>
        <v>0</v>
      </c>
      <c r="K130" s="95">
        <f>+'PARTE DIC2021'!J24</f>
        <v>12</v>
      </c>
      <c r="L130" s="95">
        <f>+'PARTE DIC2021'!K24</f>
        <v>38</v>
      </c>
      <c r="M130" s="95">
        <f>+'PARTE DIC2021'!L24</f>
        <v>0</v>
      </c>
      <c r="N130" s="95">
        <f>+'PARTE DIC2021'!M24</f>
        <v>38</v>
      </c>
      <c r="O130" s="95">
        <f>+'PARTE DIC2021'!N24</f>
        <v>50</v>
      </c>
      <c r="P130" s="95">
        <f>+'PARTE DIC2021'!O24</f>
        <v>-8</v>
      </c>
      <c r="Q130" s="1146">
        <f>+'PARTE DIC2021'!P24</f>
        <v>-0.13793103448275867</v>
      </c>
      <c r="R130" s="98"/>
    </row>
    <row r="131" spans="1:18" ht="15.75" customHeight="1">
      <c r="A131" s="94" t="str">
        <f t="shared" si="0"/>
        <v>EPM</v>
      </c>
      <c r="B131" s="88" t="e">
        <f t="shared" si="5"/>
        <v>#REF!</v>
      </c>
      <c r="C131" s="95" t="str">
        <f>+'PARTE DIC2021'!D125</f>
        <v>EPMSCPAR Pácora</v>
      </c>
      <c r="D131" s="95" t="e">
        <f>+'PARTE DIC2021'!#REF!</f>
        <v>#REF!</v>
      </c>
      <c r="E131" s="95" t="e">
        <f>+'PARTE DIC2021'!#REF!</f>
        <v>#REF!</v>
      </c>
      <c r="F131" s="95">
        <f>+'PARTE DIC2021'!E125</f>
        <v>58</v>
      </c>
      <c r="G131" s="95">
        <f>+'PARTE DIC2021'!F125</f>
        <v>67</v>
      </c>
      <c r="H131" s="95">
        <f>+'PARTE DIC2021'!G125</f>
        <v>0</v>
      </c>
      <c r="I131" s="95">
        <f>+'PARTE DIC2021'!H125</f>
        <v>21</v>
      </c>
      <c r="J131" s="95">
        <f>+'PARTE DIC2021'!I125</f>
        <v>0</v>
      </c>
      <c r="K131" s="95">
        <f>+'PARTE DIC2021'!J125</f>
        <v>21</v>
      </c>
      <c r="L131" s="95">
        <f>+'PARTE DIC2021'!K125</f>
        <v>46</v>
      </c>
      <c r="M131" s="95">
        <f>+'PARTE DIC2021'!L125</f>
        <v>0</v>
      </c>
      <c r="N131" s="95">
        <f>+'PARTE DIC2021'!M125</f>
        <v>46</v>
      </c>
      <c r="O131" s="95">
        <f>+'PARTE DIC2021'!N125</f>
        <v>67</v>
      </c>
      <c r="P131" s="95">
        <f>+'PARTE DIC2021'!O125</f>
        <v>9</v>
      </c>
      <c r="Q131" s="1146">
        <f>+'PARTE DIC2021'!P125</f>
        <v>0.15517241379310343</v>
      </c>
      <c r="R131" s="98"/>
    </row>
    <row r="132" spans="1:18" ht="15.75" customHeight="1">
      <c r="A132" s="94" t="str">
        <f t="shared" si="0"/>
        <v>CPM</v>
      </c>
      <c r="B132" s="88" t="e">
        <f t="shared" si="5"/>
        <v>#REF!</v>
      </c>
      <c r="C132" s="95" t="str">
        <f>+'PARTE DIC2021'!D98</f>
        <v>CPMSSVC San Vicente de Chucurí</v>
      </c>
      <c r="D132" s="95" t="e">
        <f>+'PARTE DIC2021'!#REF!</f>
        <v>#REF!</v>
      </c>
      <c r="E132" s="95" t="e">
        <f>+'PARTE DIC2021'!#REF!</f>
        <v>#REF!</v>
      </c>
      <c r="F132" s="95">
        <f>+'PARTE DIC2021'!E98</f>
        <v>56</v>
      </c>
      <c r="G132" s="95">
        <f>+'PARTE DIC2021'!F98</f>
        <v>58</v>
      </c>
      <c r="H132" s="95">
        <f>+'PARTE DIC2021'!G98</f>
        <v>0</v>
      </c>
      <c r="I132" s="95">
        <f>+'PARTE DIC2021'!H98</f>
        <v>27</v>
      </c>
      <c r="J132" s="95">
        <f>+'PARTE DIC2021'!I98</f>
        <v>0</v>
      </c>
      <c r="K132" s="95">
        <f>+'PARTE DIC2021'!J98</f>
        <v>27</v>
      </c>
      <c r="L132" s="95">
        <f>+'PARTE DIC2021'!K98</f>
        <v>31</v>
      </c>
      <c r="M132" s="95">
        <f>+'PARTE DIC2021'!L98</f>
        <v>0</v>
      </c>
      <c r="N132" s="95">
        <f>+'PARTE DIC2021'!M98</f>
        <v>31</v>
      </c>
      <c r="O132" s="95">
        <f>+'PARTE DIC2021'!N98</f>
        <v>58</v>
      </c>
      <c r="P132" s="95">
        <f>+'PARTE DIC2021'!O98</f>
        <v>2</v>
      </c>
      <c r="Q132" s="1146">
        <f>+'PARTE DIC2021'!P98</f>
        <v>3.5714285714285809E-2</v>
      </c>
      <c r="R132" s="98"/>
    </row>
    <row r="133" spans="1:18" ht="15.75" customHeight="1">
      <c r="A133" s="94" t="str">
        <f t="shared" si="0"/>
        <v>EPM</v>
      </c>
      <c r="B133" s="88" t="e">
        <f t="shared" si="5"/>
        <v>#REF!</v>
      </c>
      <c r="C133" s="95" t="str">
        <f>+'PARTE DIC2021'!D126</f>
        <v>EPMSCPEN Pensilvania</v>
      </c>
      <c r="D133" s="95" t="e">
        <f>+'PARTE DIC2021'!#REF!</f>
        <v>#REF!</v>
      </c>
      <c r="E133" s="95" t="e">
        <f>+'PARTE DIC2021'!#REF!</f>
        <v>#REF!</v>
      </c>
      <c r="F133" s="95">
        <f>+'PARTE DIC2021'!E126</f>
        <v>56</v>
      </c>
      <c r="G133" s="95">
        <f>+'PARTE DIC2021'!F126</f>
        <v>93</v>
      </c>
      <c r="H133" s="95">
        <f>+'PARTE DIC2021'!G126</f>
        <v>0</v>
      </c>
      <c r="I133" s="95">
        <f>+'PARTE DIC2021'!H126</f>
        <v>47</v>
      </c>
      <c r="J133" s="95">
        <f>+'PARTE DIC2021'!I126</f>
        <v>0</v>
      </c>
      <c r="K133" s="95">
        <f>+'PARTE DIC2021'!J126</f>
        <v>47</v>
      </c>
      <c r="L133" s="95">
        <f>+'PARTE DIC2021'!K126</f>
        <v>46</v>
      </c>
      <c r="M133" s="95">
        <f>+'PARTE DIC2021'!L126</f>
        <v>0</v>
      </c>
      <c r="N133" s="95">
        <f>+'PARTE DIC2021'!M126</f>
        <v>46</v>
      </c>
      <c r="O133" s="95">
        <f>+'PARTE DIC2021'!N126</f>
        <v>93</v>
      </c>
      <c r="P133" s="95">
        <f>+'PARTE DIC2021'!O126</f>
        <v>37</v>
      </c>
      <c r="Q133" s="1146">
        <f>+'PARTE DIC2021'!P126</f>
        <v>0.66071428571428581</v>
      </c>
      <c r="R133" s="98"/>
    </row>
    <row r="134" spans="1:18" ht="15.75" customHeight="1">
      <c r="A134" s="94" t="str">
        <f t="shared" si="0"/>
        <v>EPM</v>
      </c>
      <c r="B134" s="88" t="e">
        <f t="shared" si="5"/>
        <v>#REF!</v>
      </c>
      <c r="C134" s="95" t="str">
        <f>+'PARTE DIC2021'!D15</f>
        <v>EPMSCGTQ Guateque</v>
      </c>
      <c r="D134" s="95" t="e">
        <f>+'PARTE DIC2021'!#REF!</f>
        <v>#REF!</v>
      </c>
      <c r="E134" s="95" t="e">
        <f>+'PARTE DIC2021'!#REF!</f>
        <v>#REF!</v>
      </c>
      <c r="F134" s="95">
        <f>+'PARTE DIC2021'!E15</f>
        <v>55</v>
      </c>
      <c r="G134" s="95">
        <f>+'PARTE DIC2021'!F15</f>
        <v>57</v>
      </c>
      <c r="H134" s="95">
        <f>+'PARTE DIC2021'!G15</f>
        <v>0</v>
      </c>
      <c r="I134" s="95">
        <f>+'PARTE DIC2021'!H15</f>
        <v>12</v>
      </c>
      <c r="J134" s="95">
        <f>+'PARTE DIC2021'!I15</f>
        <v>0</v>
      </c>
      <c r="K134" s="95">
        <f>+'PARTE DIC2021'!J15</f>
        <v>12</v>
      </c>
      <c r="L134" s="95">
        <f>+'PARTE DIC2021'!K15</f>
        <v>45</v>
      </c>
      <c r="M134" s="95">
        <f>+'PARTE DIC2021'!L15</f>
        <v>0</v>
      </c>
      <c r="N134" s="95">
        <f>+'PARTE DIC2021'!M15</f>
        <v>45</v>
      </c>
      <c r="O134" s="95">
        <f>+'PARTE DIC2021'!N15</f>
        <v>57</v>
      </c>
      <c r="P134" s="95">
        <f>+'PARTE DIC2021'!O15</f>
        <v>2</v>
      </c>
      <c r="Q134" s="1146">
        <f>+'PARTE DIC2021'!P15</f>
        <v>3.6363636363636376E-2</v>
      </c>
      <c r="R134" s="98"/>
    </row>
    <row r="135" spans="1:18" ht="15.75" customHeight="1">
      <c r="A135" s="94" t="str">
        <f t="shared" si="0"/>
        <v>EPM</v>
      </c>
      <c r="B135" s="88" t="e">
        <f t="shared" ref="B135:B141" si="6">IF(ISBLANK(C135),0,B134+1)</f>
        <v>#REF!</v>
      </c>
      <c r="C135" s="95" t="str">
        <f>+'PARTE DIC2021'!D127</f>
        <v>EPMSCRIS Riosucio</v>
      </c>
      <c r="D135" s="95" t="e">
        <f>+'PARTE DIC2021'!#REF!</f>
        <v>#REF!</v>
      </c>
      <c r="E135" s="95" t="e">
        <f>+'PARTE DIC2021'!#REF!</f>
        <v>#REF!</v>
      </c>
      <c r="F135" s="95">
        <f>+'PARTE DIC2021'!E127</f>
        <v>54</v>
      </c>
      <c r="G135" s="95">
        <f>+'PARTE DIC2021'!F127</f>
        <v>96</v>
      </c>
      <c r="H135" s="95">
        <f>+'PARTE DIC2021'!G127</f>
        <v>0</v>
      </c>
      <c r="I135" s="95">
        <f>+'PARTE DIC2021'!H127</f>
        <v>35</v>
      </c>
      <c r="J135" s="95">
        <f>+'PARTE DIC2021'!I127</f>
        <v>0</v>
      </c>
      <c r="K135" s="95">
        <f>+'PARTE DIC2021'!J127</f>
        <v>35</v>
      </c>
      <c r="L135" s="95">
        <f>+'PARTE DIC2021'!K127</f>
        <v>61</v>
      </c>
      <c r="M135" s="95">
        <f>+'PARTE DIC2021'!L127</f>
        <v>0</v>
      </c>
      <c r="N135" s="95">
        <f>+'PARTE DIC2021'!M127</f>
        <v>61</v>
      </c>
      <c r="O135" s="95">
        <f>+'PARTE DIC2021'!N127</f>
        <v>96</v>
      </c>
      <c r="P135" s="95">
        <f>+'PARTE DIC2021'!O127</f>
        <v>42</v>
      </c>
      <c r="Q135" s="1146">
        <f>+'PARTE DIC2021'!P127</f>
        <v>0.77777777777777768</v>
      </c>
      <c r="R135" s="98"/>
    </row>
    <row r="136" spans="1:18" ht="15.75" customHeight="1">
      <c r="A136" s="94" t="str">
        <f t="shared" si="0"/>
        <v>CPM</v>
      </c>
      <c r="B136" s="88" t="e">
        <f t="shared" si="6"/>
        <v>#REF!</v>
      </c>
      <c r="C136" s="95" t="str">
        <f>+'PARTE DIC2021'!D75</f>
        <v>CPMSSAB-ERE Sabanalarga</v>
      </c>
      <c r="D136" s="95" t="e">
        <f>+'PARTE DIC2021'!#REF!</f>
        <v>#REF!</v>
      </c>
      <c r="E136" s="95" t="e">
        <f>+'PARTE DIC2021'!#REF!</f>
        <v>#REF!</v>
      </c>
      <c r="F136" s="95">
        <f>+'PARTE DIC2021'!E75</f>
        <v>50</v>
      </c>
      <c r="G136" s="95">
        <f>+'PARTE DIC2021'!F75</f>
        <v>0</v>
      </c>
      <c r="H136" s="95">
        <f>+'PARTE DIC2021'!G75</f>
        <v>0</v>
      </c>
      <c r="I136" s="95">
        <f>+'PARTE DIC2021'!H75</f>
        <v>0</v>
      </c>
      <c r="J136" s="95">
        <f>+'PARTE DIC2021'!I75</f>
        <v>0</v>
      </c>
      <c r="K136" s="95">
        <f>+'PARTE DIC2021'!J75</f>
        <v>0</v>
      </c>
      <c r="L136" s="95">
        <f>+'PARTE DIC2021'!K75</f>
        <v>0</v>
      </c>
      <c r="M136" s="95">
        <f>+'PARTE DIC2021'!L75</f>
        <v>0</v>
      </c>
      <c r="N136" s="95">
        <f>+'PARTE DIC2021'!M75</f>
        <v>0</v>
      </c>
      <c r="O136" s="95">
        <f>+'PARTE DIC2021'!N75</f>
        <v>0</v>
      </c>
      <c r="P136" s="95">
        <f>+'PARTE DIC2021'!O75</f>
        <v>-50</v>
      </c>
      <c r="Q136" s="1146">
        <f>+'PARTE DIC2021'!P75</f>
        <v>-1</v>
      </c>
      <c r="R136" s="98"/>
    </row>
    <row r="137" spans="1:18" ht="15.75" customHeight="1">
      <c r="A137" s="94" t="str">
        <f t="shared" si="0"/>
        <v>EPM</v>
      </c>
      <c r="B137" s="88" t="e">
        <f t="shared" si="6"/>
        <v>#REF!</v>
      </c>
      <c r="C137" s="95" t="str">
        <f>+'PARTE DIC2021'!D111</f>
        <v>EPMSCSBA Santa Bárbara</v>
      </c>
      <c r="D137" s="95" t="e">
        <f>+'PARTE DIC2021'!#REF!</f>
        <v>#REF!</v>
      </c>
      <c r="E137" s="95" t="e">
        <f>+'PARTE DIC2021'!#REF!</f>
        <v>#REF!</v>
      </c>
      <c r="F137" s="95">
        <f>+'PARTE DIC2021'!E111</f>
        <v>50</v>
      </c>
      <c r="G137" s="95">
        <f>+'PARTE DIC2021'!F111</f>
        <v>131</v>
      </c>
      <c r="H137" s="95">
        <f>+'PARTE DIC2021'!G111</f>
        <v>0</v>
      </c>
      <c r="I137" s="95">
        <f>+'PARTE DIC2021'!H111</f>
        <v>12</v>
      </c>
      <c r="J137" s="95">
        <f>+'PARTE DIC2021'!I111</f>
        <v>0</v>
      </c>
      <c r="K137" s="95">
        <f>+'PARTE DIC2021'!J111</f>
        <v>12</v>
      </c>
      <c r="L137" s="95">
        <f>+'PARTE DIC2021'!K111</f>
        <v>119</v>
      </c>
      <c r="M137" s="95">
        <f>+'PARTE DIC2021'!L111</f>
        <v>0</v>
      </c>
      <c r="N137" s="95">
        <f>+'PARTE DIC2021'!M111</f>
        <v>119</v>
      </c>
      <c r="O137" s="95">
        <f>+'PARTE DIC2021'!N111</f>
        <v>131</v>
      </c>
      <c r="P137" s="95">
        <f>+'PARTE DIC2021'!O111</f>
        <v>81</v>
      </c>
      <c r="Q137" s="1146">
        <f>+'PARTE DIC2021'!P111</f>
        <v>1.62</v>
      </c>
      <c r="R137" s="98"/>
    </row>
    <row r="138" spans="1:18" ht="15.75" customHeight="1">
      <c r="A138" s="94" t="str">
        <f t="shared" si="0"/>
        <v>CPM</v>
      </c>
      <c r="B138" s="88" t="e">
        <f t="shared" si="6"/>
        <v>#REF!</v>
      </c>
      <c r="C138" s="95" t="str">
        <f>+'PARTE DIC2021'!D85</f>
        <v>CPMSCOR Corozal</v>
      </c>
      <c r="D138" s="95" t="e">
        <f>+'PARTE DIC2021'!#REF!</f>
        <v>#REF!</v>
      </c>
      <c r="E138" s="95" t="e">
        <f>+'PARTE DIC2021'!#REF!</f>
        <v>#REF!</v>
      </c>
      <c r="F138" s="95">
        <f>+'PARTE DIC2021'!E85</f>
        <v>45</v>
      </c>
      <c r="G138" s="95">
        <f>+'PARTE DIC2021'!F85</f>
        <v>0</v>
      </c>
      <c r="H138" s="95">
        <f>+'PARTE DIC2021'!G85</f>
        <v>0</v>
      </c>
      <c r="I138" s="95">
        <f>+'PARTE DIC2021'!H85</f>
        <v>0</v>
      </c>
      <c r="J138" s="95">
        <f>+'PARTE DIC2021'!I85</f>
        <v>0</v>
      </c>
      <c r="K138" s="95">
        <f>+'PARTE DIC2021'!J85</f>
        <v>0</v>
      </c>
      <c r="L138" s="95">
        <f>+'PARTE DIC2021'!K85</f>
        <v>0</v>
      </c>
      <c r="M138" s="95">
        <f>+'PARTE DIC2021'!L85</f>
        <v>0</v>
      </c>
      <c r="N138" s="95">
        <f>+'PARTE DIC2021'!M85</f>
        <v>0</v>
      </c>
      <c r="O138" s="95">
        <f>+'PARTE DIC2021'!N85</f>
        <v>0</v>
      </c>
      <c r="P138" s="95">
        <f>+'PARTE DIC2021'!O85</f>
        <v>-45</v>
      </c>
      <c r="Q138" s="1146">
        <f>+'PARTE DIC2021'!P85</f>
        <v>-1</v>
      </c>
      <c r="R138" s="98"/>
    </row>
    <row r="139" spans="1:18" ht="15.75" customHeight="1">
      <c r="A139" s="94" t="str">
        <f t="shared" si="0"/>
        <v>EPM</v>
      </c>
      <c r="B139" s="88" t="e">
        <f t="shared" si="6"/>
        <v>#REF!</v>
      </c>
      <c r="C139" s="95" t="str">
        <f>+'PARTE DIC2021'!D136</f>
        <v>EPMSCARG Armero Guayabal</v>
      </c>
      <c r="D139" s="95" t="e">
        <f>+'PARTE DIC2021'!#REF!</f>
        <v>#REF!</v>
      </c>
      <c r="E139" s="95" t="e">
        <f>+'PARTE DIC2021'!#REF!</f>
        <v>#REF!</v>
      </c>
      <c r="F139" s="95">
        <f>+'PARTE DIC2021'!E136</f>
        <v>40</v>
      </c>
      <c r="G139" s="95">
        <f>+'PARTE DIC2021'!F136</f>
        <v>0</v>
      </c>
      <c r="H139" s="95">
        <f>+'PARTE DIC2021'!G136</f>
        <v>0</v>
      </c>
      <c r="I139" s="95">
        <f>+'PARTE DIC2021'!H136</f>
        <v>0</v>
      </c>
      <c r="J139" s="95">
        <f>+'PARTE DIC2021'!I136</f>
        <v>0</v>
      </c>
      <c r="K139" s="95">
        <f>+'PARTE DIC2021'!J136</f>
        <v>0</v>
      </c>
      <c r="L139" s="95">
        <f>+'PARTE DIC2021'!K136</f>
        <v>0</v>
      </c>
      <c r="M139" s="95">
        <f>+'PARTE DIC2021'!L136</f>
        <v>0</v>
      </c>
      <c r="N139" s="95">
        <f>+'PARTE DIC2021'!M136</f>
        <v>0</v>
      </c>
      <c r="O139" s="95">
        <f>+'PARTE DIC2021'!N136</f>
        <v>0</v>
      </c>
      <c r="P139" s="95">
        <f>+'PARTE DIC2021'!O136</f>
        <v>-40</v>
      </c>
      <c r="Q139" s="1146">
        <f>+'PARTE DIC2021'!P136</f>
        <v>-1</v>
      </c>
      <c r="R139" s="98"/>
    </row>
    <row r="140" spans="1:18" ht="15.75" customHeight="1">
      <c r="A140" s="94" t="str">
        <f t="shared" si="0"/>
        <v>CPM</v>
      </c>
      <c r="B140" s="88" t="e">
        <f t="shared" si="6"/>
        <v>#REF!</v>
      </c>
      <c r="C140" s="95" t="str">
        <f>+'PARTE DIC2021'!D14</f>
        <v>CPMSGAR Garagoa</v>
      </c>
      <c r="D140" s="95" t="e">
        <f>+'PARTE DIC2021'!#REF!</f>
        <v>#REF!</v>
      </c>
      <c r="E140" s="95" t="e">
        <f>+'PARTE DIC2021'!#REF!</f>
        <v>#REF!</v>
      </c>
      <c r="F140" s="95">
        <f>+'PARTE DIC2021'!E14</f>
        <v>37</v>
      </c>
      <c r="G140" s="95">
        <f>+'PARTE DIC2021'!F14</f>
        <v>0</v>
      </c>
      <c r="H140" s="95">
        <f>+'PARTE DIC2021'!G14</f>
        <v>0</v>
      </c>
      <c r="I140" s="95">
        <f>+'PARTE DIC2021'!H14</f>
        <v>0</v>
      </c>
      <c r="J140" s="95">
        <f>+'PARTE DIC2021'!I14</f>
        <v>0</v>
      </c>
      <c r="K140" s="95">
        <f>+'PARTE DIC2021'!J14</f>
        <v>0</v>
      </c>
      <c r="L140" s="95">
        <f>+'PARTE DIC2021'!K14</f>
        <v>0</v>
      </c>
      <c r="M140" s="95">
        <f>+'PARTE DIC2021'!L14</f>
        <v>0</v>
      </c>
      <c r="N140" s="95">
        <f>+'PARTE DIC2021'!M14</f>
        <v>0</v>
      </c>
      <c r="O140" s="95">
        <f>+'PARTE DIC2021'!N14</f>
        <v>0</v>
      </c>
      <c r="P140" s="95">
        <f>+'PARTE DIC2021'!O14</f>
        <v>-37</v>
      </c>
      <c r="Q140" s="1146">
        <f>+'PARTE DIC2021'!P14</f>
        <v>-1</v>
      </c>
      <c r="R140" s="98"/>
    </row>
    <row r="141" spans="1:18" ht="15.75" customHeight="1">
      <c r="A141" s="94" t="str">
        <f t="shared" si="0"/>
        <v>EPM</v>
      </c>
      <c r="B141" s="88" t="e">
        <f t="shared" si="6"/>
        <v>#REF!</v>
      </c>
      <c r="C141" s="95" t="str">
        <f>+'PARTE DIC2021'!D71</f>
        <v>EPMSCROL Roldanillo</v>
      </c>
      <c r="D141" s="95" t="e">
        <f>+'PARTE DIC2021'!#REF!</f>
        <v>#REF!</v>
      </c>
      <c r="E141" s="95" t="e">
        <f>+'PARTE DIC2021'!#REF!</f>
        <v>#REF!</v>
      </c>
      <c r="F141" s="95">
        <f>+'PARTE DIC2021'!E71</f>
        <v>0</v>
      </c>
      <c r="G141" s="95">
        <f>+'PARTE DIC2021'!F71</f>
        <v>0</v>
      </c>
      <c r="H141" s="95">
        <f>+'PARTE DIC2021'!G71</f>
        <v>0</v>
      </c>
      <c r="I141" s="95">
        <f>+'PARTE DIC2021'!H71</f>
        <v>0</v>
      </c>
      <c r="J141" s="95">
        <f>+'PARTE DIC2021'!I71</f>
        <v>0</v>
      </c>
      <c r="K141" s="95">
        <f>+'PARTE DIC2021'!J71</f>
        <v>0</v>
      </c>
      <c r="L141" s="95">
        <f>+'PARTE DIC2021'!K71</f>
        <v>0</v>
      </c>
      <c r="M141" s="95">
        <f>+'PARTE DIC2021'!L71</f>
        <v>0</v>
      </c>
      <c r="N141" s="95">
        <f>+'PARTE DIC2021'!M71</f>
        <v>0</v>
      </c>
      <c r="O141" s="95">
        <f>+'PARTE DIC2021'!N71</f>
        <v>0</v>
      </c>
      <c r="P141" s="95">
        <f>+'PARTE DIC2021'!O71</f>
        <v>0</v>
      </c>
      <c r="Q141" s="1146">
        <f>+'PARTE DIC2021'!P71</f>
        <v>0</v>
      </c>
      <c r="R141" s="98"/>
    </row>
    <row r="142" spans="1:18" ht="15.75" customHeight="1">
      <c r="A142" s="94"/>
      <c r="B142" s="94"/>
      <c r="C142" s="95" t="str">
        <f>+'PARTE DIC2021'!D124</f>
        <v>EPMSCAGD Aguadas</v>
      </c>
      <c r="D142" s="95" t="e">
        <f>+'PARTE DIC2021'!#REF!</f>
        <v>#REF!</v>
      </c>
      <c r="E142" s="95" t="e">
        <f>+'PARTE DIC2021'!#REF!</f>
        <v>#REF!</v>
      </c>
      <c r="F142" s="95">
        <f>+'PARTE DIC2021'!E124</f>
        <v>0</v>
      </c>
      <c r="G142" s="95">
        <f>+'PARTE DIC2021'!F124</f>
        <v>0</v>
      </c>
      <c r="H142" s="95">
        <f>+'PARTE DIC2021'!G124</f>
        <v>0</v>
      </c>
      <c r="I142" s="95">
        <f>+'PARTE DIC2021'!H124</f>
        <v>0</v>
      </c>
      <c r="J142" s="95">
        <f>+'PARTE DIC2021'!I124</f>
        <v>0</v>
      </c>
      <c r="K142" s="95">
        <f>+'PARTE DIC2021'!J124</f>
        <v>0</v>
      </c>
      <c r="L142" s="95">
        <f>+'PARTE DIC2021'!K124</f>
        <v>0</v>
      </c>
      <c r="M142" s="95">
        <f>+'PARTE DIC2021'!L124</f>
        <v>0</v>
      </c>
      <c r="N142" s="95">
        <f>+'PARTE DIC2021'!M124</f>
        <v>0</v>
      </c>
      <c r="O142" s="95">
        <f>+'PARTE DIC2021'!N124</f>
        <v>0</v>
      </c>
      <c r="P142" s="95">
        <f>+'PARTE DIC2021'!O124</f>
        <v>0</v>
      </c>
      <c r="Q142" s="1146">
        <f>+'PARTE DIC2021'!P124</f>
        <v>0</v>
      </c>
      <c r="R142" s="93">
        <f>SUM(R10:R141)</f>
        <v>0</v>
      </c>
    </row>
    <row r="143" spans="1:18" ht="15.75" customHeight="1">
      <c r="A143" s="94"/>
      <c r="B143" s="99"/>
      <c r="C143" s="93"/>
      <c r="D143" s="1148" t="e">
        <f>SUM(D10:D142)</f>
        <v>#REF!</v>
      </c>
      <c r="E143" s="1148" t="e">
        <f t="shared" ref="E143:P143" si="7">SUM(E10:E142)</f>
        <v>#REF!</v>
      </c>
      <c r="F143" s="1148">
        <f>SUM(F10:F142)</f>
        <v>80429</v>
      </c>
      <c r="G143" s="1148">
        <f t="shared" si="7"/>
        <v>90241</v>
      </c>
      <c r="H143" s="1148">
        <f t="shared" si="7"/>
        <v>6672</v>
      </c>
      <c r="I143" s="1148">
        <f t="shared" si="7"/>
        <v>23012</v>
      </c>
      <c r="J143" s="1148">
        <f t="shared" si="7"/>
        <v>2583</v>
      </c>
      <c r="K143" s="1148">
        <f t="shared" si="7"/>
        <v>25595</v>
      </c>
      <c r="L143" s="1148">
        <f t="shared" si="7"/>
        <v>67229</v>
      </c>
      <c r="M143" s="1148">
        <f t="shared" si="7"/>
        <v>4089</v>
      </c>
      <c r="N143" s="1148">
        <f t="shared" si="7"/>
        <v>71318</v>
      </c>
      <c r="O143" s="1148">
        <f t="shared" si="7"/>
        <v>96913</v>
      </c>
      <c r="P143" s="1148">
        <f t="shared" si="7"/>
        <v>16484</v>
      </c>
      <c r="Q143" s="1147"/>
      <c r="R143" s="98"/>
    </row>
    <row r="144" spans="1:18" ht="15.75" customHeight="1">
      <c r="A144" s="94"/>
      <c r="B144" s="99"/>
      <c r="C144" s="93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100"/>
      <c r="P144" s="98"/>
      <c r="Q144" s="1147"/>
      <c r="R144" s="98"/>
    </row>
    <row r="145" spans="1:18" ht="15.75" customHeight="1">
      <c r="A145" s="94"/>
      <c r="B145" s="99"/>
      <c r="C145" s="93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100"/>
      <c r="P145" s="98"/>
      <c r="Q145" s="1147"/>
      <c r="R145" s="98"/>
    </row>
    <row r="146" spans="1:18" ht="15.75" customHeight="1">
      <c r="A146" s="94"/>
      <c r="B146" s="99"/>
      <c r="C146" s="93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100"/>
      <c r="P146" s="98"/>
      <c r="Q146" s="1147"/>
      <c r="R146" s="98"/>
    </row>
    <row r="147" spans="1:18" ht="15.75" customHeight="1">
      <c r="A147" s="94"/>
      <c r="B147" s="99"/>
      <c r="C147" s="93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100"/>
      <c r="P147" s="98"/>
      <c r="Q147" s="1147"/>
      <c r="R147" s="98"/>
    </row>
    <row r="149" spans="1:18" ht="12.75" customHeight="1"/>
  </sheetData>
  <sortState ref="C10:Q142">
    <sortCondition descending="1" ref="F10:F142"/>
  </sortState>
  <mergeCells count="15">
    <mergeCell ref="L1:R2"/>
    <mergeCell ref="C3:R3"/>
    <mergeCell ref="O8:O9"/>
    <mergeCell ref="P8:Q8"/>
    <mergeCell ref="L8:N8"/>
    <mergeCell ref="C1:C2"/>
    <mergeCell ref="F1:K2"/>
    <mergeCell ref="F6:H6"/>
    <mergeCell ref="C7:C8"/>
    <mergeCell ref="D8:E8"/>
    <mergeCell ref="F8:F9"/>
    <mergeCell ref="G8:H8"/>
    <mergeCell ref="I8:K8"/>
    <mergeCell ref="F7:H7"/>
    <mergeCell ref="I7:N7"/>
  </mergeCells>
  <conditionalFormatting sqref="C10:Q141 C142:C147 D142:R142">
    <cfRule type="expression" dxfId="9" priority="1">
      <formula>LEFT(C10, 1) = "1"</formula>
    </cfRule>
  </conditionalFormatting>
  <conditionalFormatting sqref="C10:Q141 C142:C147 D142:R142">
    <cfRule type="expression" dxfId="8" priority="2">
      <formula>LEFT(C10, 1) = "2"</formula>
    </cfRule>
  </conditionalFormatting>
  <conditionalFormatting sqref="C10:Q141 C142:C147 D142:R142">
    <cfRule type="expression" dxfId="7" priority="3">
      <formula>LEFT(C10, 1) = "3"</formula>
    </cfRule>
  </conditionalFormatting>
  <conditionalFormatting sqref="C10:Q141 C142:C147 D142:R142">
    <cfRule type="expression" dxfId="6" priority="4">
      <formula>LEFT(C10, 1) = "4"</formula>
    </cfRule>
  </conditionalFormatting>
  <conditionalFormatting sqref="C10:Q141 C142:C147 D142:R142">
    <cfRule type="expression" dxfId="5" priority="5">
      <formula>LEFT(C10, 1) = "5"</formula>
    </cfRule>
  </conditionalFormatting>
  <conditionalFormatting sqref="C10:Q141 C142:C147 D142:R142">
    <cfRule type="expression" dxfId="4" priority="6">
      <formula>LEFT(C10, 1) = "6"</formula>
    </cfRule>
  </conditionalFormatting>
  <conditionalFormatting sqref="Q143:Q147">
    <cfRule type="cellIs" dxfId="3" priority="7" operator="between">
      <formula>0.001</formula>
      <formula>0.499</formula>
    </cfRule>
  </conditionalFormatting>
  <conditionalFormatting sqref="Q143:Q147">
    <cfRule type="cellIs" dxfId="2" priority="8" operator="between">
      <formula>0.5</formula>
      <formula>0.999</formula>
    </cfRule>
  </conditionalFormatting>
  <conditionalFormatting sqref="Q143:Q147">
    <cfRule type="cellIs" dxfId="1" priority="9" operator="greaterThanOrEqual">
      <formula>1</formula>
    </cfRule>
  </conditionalFormatting>
  <conditionalFormatting sqref="Q143:Q147">
    <cfRule type="cellIs" dxfId="0" priority="10" operator="lessThanOrEqual">
      <formula>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Click and enter a value from range Parametros!C2:C200">
          <x14:formula1>
            <xm:f>'C:\DATOS DICIEMBRE\[PPL Consolidado General 31122018.xlsx]Parametros'!#REF!</xm:f>
          </x14:formula1>
          <xm:sqref>C143:C147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009900"/>
  </sheetPr>
  <dimension ref="A2:AB157"/>
  <sheetViews>
    <sheetView showGridLines="0" zoomScale="80" zoomScaleNormal="80" workbookViewId="0">
      <selection activeCell="A4" sqref="A4"/>
    </sheetView>
  </sheetViews>
  <sheetFormatPr baseColWidth="10" defaultRowHeight="14.25"/>
  <cols>
    <col min="1" max="1" width="17.42578125" style="76" customWidth="1"/>
    <col min="2" max="14" width="11.7109375" style="76" customWidth="1"/>
    <col min="15" max="18" width="11.42578125" style="76"/>
    <col min="19" max="19" width="8.42578125" style="76" customWidth="1"/>
    <col min="20" max="16384" width="11.42578125" style="76"/>
  </cols>
  <sheetData>
    <row r="2" spans="1:16" ht="15">
      <c r="A2" s="1739" t="s">
        <v>785</v>
      </c>
      <c r="B2" s="1739"/>
      <c r="C2" s="1739"/>
      <c r="D2" s="1739"/>
      <c r="E2" s="1739"/>
      <c r="F2" s="1739"/>
      <c r="G2" s="1739"/>
      <c r="H2" s="1739"/>
      <c r="I2" s="1739"/>
      <c r="J2" s="1739"/>
      <c r="K2" s="1739"/>
      <c r="L2" s="1739"/>
      <c r="M2" s="1739"/>
      <c r="N2" s="1739"/>
    </row>
    <row r="3" spans="1:16" ht="15" thickBot="1">
      <c r="B3" s="102">
        <f>+'TABLA CUPOS'!C6</f>
        <v>80683</v>
      </c>
    </row>
    <row r="4" spans="1:16" s="157" customFormat="1" ht="26.25" customHeight="1">
      <c r="A4" s="235" t="s">
        <v>302</v>
      </c>
      <c r="B4" s="636" t="s">
        <v>252</v>
      </c>
      <c r="C4" s="636" t="s">
        <v>253</v>
      </c>
      <c r="D4" s="636" t="s">
        <v>254</v>
      </c>
      <c r="E4" s="636" t="s">
        <v>255</v>
      </c>
      <c r="F4" s="636" t="s">
        <v>256</v>
      </c>
      <c r="G4" s="636" t="s">
        <v>257</v>
      </c>
      <c r="H4" s="636" t="s">
        <v>258</v>
      </c>
      <c r="I4" s="636" t="s">
        <v>259</v>
      </c>
      <c r="J4" s="636" t="s">
        <v>260</v>
      </c>
      <c r="K4" s="636" t="s">
        <v>261</v>
      </c>
      <c r="L4" s="636" t="s">
        <v>240</v>
      </c>
      <c r="M4" s="636" t="s">
        <v>241</v>
      </c>
      <c r="N4" s="635" t="s">
        <v>641</v>
      </c>
    </row>
    <row r="5" spans="1:16" s="157" customFormat="1" ht="26.25" customHeight="1">
      <c r="A5" s="164" t="s">
        <v>118</v>
      </c>
      <c r="B5" s="1434">
        <f>+'TABLA CUPOS'!G10</f>
        <v>80645</v>
      </c>
      <c r="C5" s="1434">
        <f>+'TABLA CUPOS'!G14</f>
        <v>80900</v>
      </c>
      <c r="D5" s="1434">
        <f>+'TABLA CUPOS'!G16</f>
        <v>80892</v>
      </c>
      <c r="E5" s="1434">
        <f>+'TABLA CUPOS'!G17</f>
        <v>81500</v>
      </c>
      <c r="F5" s="1434">
        <f>+'TABLA CUPOS'!G17</f>
        <v>81500</v>
      </c>
      <c r="G5" s="1434">
        <f>+'TABLA CUPOS'!G18</f>
        <v>81524</v>
      </c>
      <c r="H5" s="1434">
        <f>+'TABLA CUPOS'!G19</f>
        <v>82326</v>
      </c>
      <c r="I5" s="1434">
        <v>82326</v>
      </c>
      <c r="J5" s="1434">
        <v>82326</v>
      </c>
      <c r="K5" s="1434">
        <f>+'TABLA CUPOS'!G36</f>
        <v>80429</v>
      </c>
      <c r="L5" s="1434">
        <v>80429</v>
      </c>
      <c r="M5" s="1434">
        <v>80429</v>
      </c>
      <c r="N5" s="660">
        <f>AVERAGE(B5:M5)</f>
        <v>81268.833333333328</v>
      </c>
      <c r="P5" s="162"/>
    </row>
    <row r="6" spans="1:16" s="157" customFormat="1" ht="26.25" customHeight="1">
      <c r="A6" s="1883" t="s">
        <v>150</v>
      </c>
      <c r="B6" s="1292">
        <f>+B5-B3</f>
        <v>-38</v>
      </c>
      <c r="C6" s="610">
        <f t="shared" ref="C6:M6" si="0">+C5-B5</f>
        <v>255</v>
      </c>
      <c r="D6" s="610">
        <f t="shared" si="0"/>
        <v>-8</v>
      </c>
      <c r="E6" s="610">
        <f t="shared" si="0"/>
        <v>608</v>
      </c>
      <c r="F6" s="610">
        <f t="shared" si="0"/>
        <v>0</v>
      </c>
      <c r="G6" s="610">
        <f>+G5-F5</f>
        <v>24</v>
      </c>
      <c r="H6" s="610">
        <f t="shared" si="0"/>
        <v>802</v>
      </c>
      <c r="I6" s="610">
        <f t="shared" si="0"/>
        <v>0</v>
      </c>
      <c r="J6" s="610">
        <f t="shared" si="0"/>
        <v>0</v>
      </c>
      <c r="K6" s="610">
        <f t="shared" si="0"/>
        <v>-1897</v>
      </c>
      <c r="L6" s="610">
        <f t="shared" si="0"/>
        <v>0</v>
      </c>
      <c r="M6" s="610">
        <f t="shared" si="0"/>
        <v>0</v>
      </c>
      <c r="N6" s="1435">
        <f>AVERAGE(B6:M6)</f>
        <v>-21.166666666666668</v>
      </c>
    </row>
    <row r="7" spans="1:16" s="157" customFormat="1" ht="26.25" customHeight="1" thickBot="1">
      <c r="A7" s="1884"/>
      <c r="B7" s="1392">
        <f>+B5*1/B3-1</f>
        <v>-4.7097901664538977E-4</v>
      </c>
      <c r="C7" s="1436">
        <f t="shared" ref="C7:M7" si="1">+C5*1/B5-1</f>
        <v>3.1620063240127561E-3</v>
      </c>
      <c r="D7" s="1436">
        <f t="shared" si="1"/>
        <v>-9.8887515451173691E-5</v>
      </c>
      <c r="E7" s="1436">
        <f t="shared" si="1"/>
        <v>7.5161944320822904E-3</v>
      </c>
      <c r="F7" s="1436">
        <f t="shared" si="1"/>
        <v>0</v>
      </c>
      <c r="G7" s="1436">
        <f t="shared" si="1"/>
        <v>2.9447852760733362E-4</v>
      </c>
      <c r="H7" s="1436">
        <f t="shared" si="1"/>
        <v>9.8375938373975735E-3</v>
      </c>
      <c r="I7" s="1436">
        <f t="shared" si="1"/>
        <v>0</v>
      </c>
      <c r="J7" s="1436">
        <f t="shared" si="1"/>
        <v>0</v>
      </c>
      <c r="K7" s="1436">
        <f t="shared" si="1"/>
        <v>-2.3042538201783147E-2</v>
      </c>
      <c r="L7" s="1436">
        <f t="shared" si="1"/>
        <v>0</v>
      </c>
      <c r="M7" s="1436">
        <f t="shared" si="1"/>
        <v>0</v>
      </c>
      <c r="N7" s="1437">
        <f>AVERAGE(B7:M7)</f>
        <v>-2.335109677316464E-4</v>
      </c>
    </row>
    <row r="8" spans="1:16" s="157" customFormat="1" ht="26.25" customHeight="1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4"/>
    </row>
    <row r="10" spans="1:16" s="20" customFormat="1">
      <c r="A10" s="1793" t="s">
        <v>844</v>
      </c>
      <c r="B10" s="1793"/>
      <c r="C10" s="1793"/>
      <c r="D10" s="1793"/>
      <c r="E10" s="1793"/>
      <c r="F10" s="1793"/>
      <c r="G10" s="76"/>
      <c r="H10" s="76"/>
    </row>
    <row r="11" spans="1:16" s="20" customFormat="1" ht="15" thickBot="1">
      <c r="A11" s="76"/>
      <c r="B11" s="76"/>
      <c r="C11" s="76"/>
      <c r="D11" s="76"/>
      <c r="E11" s="76"/>
      <c r="F11" s="76"/>
      <c r="G11" s="76"/>
      <c r="H11" s="76"/>
    </row>
    <row r="12" spans="1:16" s="20" customFormat="1" ht="23.25" customHeight="1">
      <c r="A12" s="1885" t="s">
        <v>62</v>
      </c>
      <c r="B12" s="1887" t="s">
        <v>63</v>
      </c>
      <c r="C12" s="1887"/>
      <c r="D12" s="1887" t="s">
        <v>15</v>
      </c>
      <c r="E12" s="1888"/>
    </row>
    <row r="13" spans="1:16" s="20" customFormat="1" ht="23.25" customHeight="1" thickBot="1">
      <c r="A13" s="1886"/>
      <c r="B13" s="230" t="s">
        <v>64</v>
      </c>
      <c r="C13" s="230" t="s">
        <v>22</v>
      </c>
      <c r="D13" s="230" t="s">
        <v>118</v>
      </c>
      <c r="E13" s="527" t="s">
        <v>22</v>
      </c>
    </row>
    <row r="14" spans="1:16" s="274" customFormat="1" ht="17.25" customHeight="1">
      <c r="A14" s="535" t="s">
        <v>151</v>
      </c>
      <c r="B14" s="536">
        <v>24</v>
      </c>
      <c r="C14" s="537">
        <f>+B14/B19</f>
        <v>0.18045112781954886</v>
      </c>
      <c r="D14" s="824">
        <f>SUM(Hoja3!F10:F33)</f>
        <v>54447</v>
      </c>
      <c r="E14" s="538">
        <f>+D14/D19</f>
        <v>0.67695731639085399</v>
      </c>
    </row>
    <row r="15" spans="1:16" s="274" customFormat="1" ht="17.25" customHeight="1">
      <c r="A15" s="539" t="s">
        <v>152</v>
      </c>
      <c r="B15" s="540">
        <v>28</v>
      </c>
      <c r="C15" s="541">
        <f>+B15/B19</f>
        <v>0.21052631578947367</v>
      </c>
      <c r="D15" s="825">
        <f>SUM(Hoja3!F34:F61)</f>
        <v>15899</v>
      </c>
      <c r="E15" s="542">
        <f>+D15/D19</f>
        <v>0.19767745464944236</v>
      </c>
    </row>
    <row r="16" spans="1:16" s="274" customFormat="1" ht="17.25" customHeight="1">
      <c r="A16" s="543" t="s">
        <v>67</v>
      </c>
      <c r="B16" s="544">
        <v>12</v>
      </c>
      <c r="C16" s="545">
        <f>+B16/B19</f>
        <v>9.0225563909774431E-2</v>
      </c>
      <c r="D16" s="826">
        <f>SUM(Hoja3!F62:F73)</f>
        <v>3045</v>
      </c>
      <c r="E16" s="546">
        <f>+D16/D19</f>
        <v>3.785947854629549E-2</v>
      </c>
    </row>
    <row r="17" spans="1:13" s="274" customFormat="1" ht="17.25" customHeight="1">
      <c r="A17" s="539" t="s">
        <v>66</v>
      </c>
      <c r="B17" s="540">
        <v>32</v>
      </c>
      <c r="C17" s="541">
        <f>+B17/B19</f>
        <v>0.24060150375939848</v>
      </c>
      <c r="D17" s="825">
        <f>SUM(Hoja3!F74:F105)</f>
        <v>4549</v>
      </c>
      <c r="E17" s="542">
        <f>+D17/D19</f>
        <v>5.6559201283119274E-2</v>
      </c>
    </row>
    <row r="18" spans="1:13" s="274" customFormat="1" ht="17.25" customHeight="1" thickBot="1">
      <c r="A18" s="547" t="s">
        <v>65</v>
      </c>
      <c r="B18" s="548">
        <v>37</v>
      </c>
      <c r="C18" s="549">
        <f>+B18/B19</f>
        <v>0.2781954887218045</v>
      </c>
      <c r="D18" s="827">
        <f>SUM(Hoja3!F106:F142)</f>
        <v>2489</v>
      </c>
      <c r="E18" s="550">
        <f>+D18/D19</f>
        <v>3.0946549130288825E-2</v>
      </c>
    </row>
    <row r="19" spans="1:13" s="20" customFormat="1" ht="21.75" customHeight="1" thickBot="1">
      <c r="A19" s="528" t="s">
        <v>6</v>
      </c>
      <c r="B19" s="531">
        <f>SUM(B14:B18)</f>
        <v>133</v>
      </c>
      <c r="C19" s="532">
        <f>SUM(C14:C18)</f>
        <v>1</v>
      </c>
      <c r="D19" s="533">
        <f>SUM(D14:D18)</f>
        <v>80429</v>
      </c>
      <c r="E19" s="534">
        <f>SUM(E14:E18)</f>
        <v>1</v>
      </c>
    </row>
    <row r="20" spans="1:13" s="20" customFormat="1">
      <c r="A20" s="29"/>
      <c r="B20" s="76"/>
      <c r="C20" s="105"/>
      <c r="D20" s="106"/>
      <c r="E20" s="76"/>
    </row>
    <row r="21" spans="1:13">
      <c r="D21" s="102"/>
      <c r="F21" s="20"/>
      <c r="G21" s="20"/>
      <c r="H21" s="20"/>
    </row>
    <row r="28" spans="1:13">
      <c r="F28" s="20"/>
      <c r="G28" s="20"/>
      <c r="H28" s="20"/>
    </row>
    <row r="29" spans="1:13">
      <c r="B29" s="499"/>
      <c r="F29" s="20"/>
      <c r="G29" s="20"/>
      <c r="H29" s="20"/>
    </row>
    <row r="31" spans="1:13">
      <c r="M31" s="104"/>
    </row>
    <row r="32" spans="1:13">
      <c r="M32" s="102"/>
    </row>
    <row r="157" spans="7:28" ht="15">
      <c r="G157" s="123">
        <f>SUM(G17:G156)</f>
        <v>0</v>
      </c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</row>
  </sheetData>
  <mergeCells count="6">
    <mergeCell ref="A6:A7"/>
    <mergeCell ref="A2:N2"/>
    <mergeCell ref="A10:F10"/>
    <mergeCell ref="A12:A13"/>
    <mergeCell ref="B12:C12"/>
    <mergeCell ref="D12:E12"/>
  </mergeCells>
  <pageMargins left="0.7" right="0.7" top="0.75" bottom="0.75" header="0.3" footer="0.3"/>
  <pageSetup paperSize="9" orientation="portrait" r:id="rId1"/>
  <ignoredErrors>
    <ignoredError sqref="D16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009900"/>
  </sheetPr>
  <dimension ref="A2:AB153"/>
  <sheetViews>
    <sheetView showGridLines="0" zoomScale="80" zoomScaleNormal="80" workbookViewId="0">
      <selection activeCell="A11" sqref="A11:N15"/>
    </sheetView>
  </sheetViews>
  <sheetFormatPr baseColWidth="10" defaultRowHeight="15"/>
  <cols>
    <col min="1" max="1" width="22.28515625" customWidth="1"/>
    <col min="2" max="14" width="11.7109375" customWidth="1"/>
    <col min="19" max="19" width="8.42578125" customWidth="1"/>
  </cols>
  <sheetData>
    <row r="2" spans="1:16" s="76" customFormat="1">
      <c r="A2" s="1739" t="s">
        <v>786</v>
      </c>
      <c r="B2" s="1739"/>
      <c r="C2" s="1739"/>
      <c r="D2" s="1739"/>
      <c r="E2" s="1739"/>
      <c r="F2" s="1739"/>
      <c r="G2" s="1739"/>
      <c r="H2" s="1739"/>
      <c r="I2" s="1739"/>
      <c r="J2" s="1739"/>
      <c r="K2" s="1739"/>
      <c r="L2" s="1739"/>
      <c r="M2" s="1739"/>
      <c r="N2" s="1739"/>
    </row>
    <row r="3" spans="1:16" s="76" customFormat="1" thickBot="1">
      <c r="B3" s="14">
        <v>96285</v>
      </c>
    </row>
    <row r="4" spans="1:16" s="157" customFormat="1" ht="26.25" customHeight="1">
      <c r="A4" s="513" t="s">
        <v>233</v>
      </c>
      <c r="B4" s="525" t="s">
        <v>252</v>
      </c>
      <c r="C4" s="525" t="s">
        <v>253</v>
      </c>
      <c r="D4" s="525" t="s">
        <v>254</v>
      </c>
      <c r="E4" s="525" t="s">
        <v>255</v>
      </c>
      <c r="F4" s="525" t="s">
        <v>256</v>
      </c>
      <c r="G4" s="525" t="s">
        <v>257</v>
      </c>
      <c r="H4" s="525" t="s">
        <v>258</v>
      </c>
      <c r="I4" s="525" t="s">
        <v>259</v>
      </c>
      <c r="J4" s="525" t="s">
        <v>260</v>
      </c>
      <c r="K4" s="525" t="s">
        <v>261</v>
      </c>
      <c r="L4" s="525" t="s">
        <v>240</v>
      </c>
      <c r="M4" s="525" t="s">
        <v>241</v>
      </c>
      <c r="N4" s="526" t="s">
        <v>641</v>
      </c>
      <c r="P4" s="162"/>
    </row>
    <row r="5" spans="1:16" s="157" customFormat="1" ht="26.25" customHeight="1">
      <c r="A5" s="164" t="s">
        <v>415</v>
      </c>
      <c r="B5" s="1434">
        <v>96775</v>
      </c>
      <c r="C5" s="1438">
        <v>97035</v>
      </c>
      <c r="D5" s="1434">
        <v>97409</v>
      </c>
      <c r="E5" s="1434">
        <v>97171</v>
      </c>
      <c r="F5" s="1434">
        <v>96589</v>
      </c>
      <c r="G5" s="1434">
        <v>96400</v>
      </c>
      <c r="H5" s="1434">
        <v>96386</v>
      </c>
      <c r="I5" s="1434">
        <v>96385</v>
      </c>
      <c r="J5" s="1434">
        <v>96819</v>
      </c>
      <c r="K5" s="1434">
        <v>96898</v>
      </c>
      <c r="L5" s="1434">
        <v>97270</v>
      </c>
      <c r="M5" s="1434">
        <v>96913</v>
      </c>
      <c r="N5" s="660">
        <f>AVERAGE(B5:M5)</f>
        <v>96837.5</v>
      </c>
      <c r="P5" s="162"/>
    </row>
    <row r="6" spans="1:16" s="157" customFormat="1" ht="26.25" customHeight="1">
      <c r="A6" s="1883" t="s">
        <v>150</v>
      </c>
      <c r="B6" s="610">
        <f>+B5-B3</f>
        <v>490</v>
      </c>
      <c r="C6" s="610">
        <f>+C5-B5</f>
        <v>260</v>
      </c>
      <c r="D6" s="610">
        <f t="shared" ref="D6:M6" si="0">+D5-C5</f>
        <v>374</v>
      </c>
      <c r="E6" s="610">
        <f t="shared" si="0"/>
        <v>-238</v>
      </c>
      <c r="F6" s="610">
        <f t="shared" si="0"/>
        <v>-582</v>
      </c>
      <c r="G6" s="610">
        <f t="shared" si="0"/>
        <v>-189</v>
      </c>
      <c r="H6" s="610">
        <f t="shared" si="0"/>
        <v>-14</v>
      </c>
      <c r="I6" s="610">
        <f t="shared" si="0"/>
        <v>-1</v>
      </c>
      <c r="J6" s="610">
        <f t="shared" si="0"/>
        <v>434</v>
      </c>
      <c r="K6" s="610">
        <f t="shared" si="0"/>
        <v>79</v>
      </c>
      <c r="L6" s="610">
        <f t="shared" si="0"/>
        <v>372</v>
      </c>
      <c r="M6" s="610">
        <f t="shared" si="0"/>
        <v>-357</v>
      </c>
      <c r="N6" s="1435">
        <f>AVERAGE(B6:M6)</f>
        <v>52.333333333333336</v>
      </c>
      <c r="P6" s="162"/>
    </row>
    <row r="7" spans="1:16" s="157" customFormat="1" ht="26.25" customHeight="1" thickBot="1">
      <c r="A7" s="1884"/>
      <c r="B7" s="1439">
        <f>+B5*1/B3-1</f>
        <v>5.0890585241729624E-3</v>
      </c>
      <c r="C7" s="1436">
        <f>+C5*1/B5-1</f>
        <v>2.6866442779642785E-3</v>
      </c>
      <c r="D7" s="1436">
        <f>+D5*1/C5-1</f>
        <v>3.8542793837275102E-3</v>
      </c>
      <c r="E7" s="1436">
        <f t="shared" ref="E7:M7" si="1">+E5*1/D5-1</f>
        <v>-2.4433060600149714E-3</v>
      </c>
      <c r="F7" s="1436">
        <f t="shared" si="1"/>
        <v>-5.9894412942133046E-3</v>
      </c>
      <c r="G7" s="1436">
        <f t="shared" si="1"/>
        <v>-1.9567445568335895E-3</v>
      </c>
      <c r="H7" s="1436">
        <f t="shared" si="1"/>
        <v>-1.4522821576767875E-4</v>
      </c>
      <c r="I7" s="1436">
        <f t="shared" si="1"/>
        <v>-1.03749507189832E-5</v>
      </c>
      <c r="J7" s="1436">
        <f t="shared" si="1"/>
        <v>4.5027753281112748E-3</v>
      </c>
      <c r="K7" s="1436">
        <f t="shared" si="1"/>
        <v>8.1595554591551434E-4</v>
      </c>
      <c r="L7" s="1436">
        <f t="shared" si="1"/>
        <v>3.8390885260790597E-3</v>
      </c>
      <c r="M7" s="1436">
        <f t="shared" si="1"/>
        <v>-3.6701963606455834E-3</v>
      </c>
      <c r="N7" s="1440">
        <f>AVERAGE(C7:M7)</f>
        <v>1.3485923850941153E-4</v>
      </c>
      <c r="P7" s="162"/>
    </row>
    <row r="8" spans="1:16" s="157" customFormat="1" ht="26.25" customHeight="1">
      <c r="P8" s="162"/>
    </row>
    <row r="9" spans="1:16">
      <c r="A9" s="1889" t="s">
        <v>787</v>
      </c>
      <c r="B9" s="1889"/>
      <c r="C9" s="1889"/>
      <c r="D9" s="1889"/>
      <c r="E9" s="1889"/>
      <c r="F9" s="1889"/>
      <c r="G9" s="1889"/>
      <c r="H9" s="1889"/>
      <c r="I9" s="1889"/>
      <c r="J9" s="1889"/>
      <c r="K9" s="1889"/>
      <c r="L9" s="1889"/>
      <c r="M9" s="1889"/>
      <c r="N9" s="1889"/>
      <c r="P9" s="162"/>
    </row>
    <row r="10" spans="1:16" ht="15.75" thickBot="1">
      <c r="P10" s="162"/>
    </row>
    <row r="11" spans="1:16" s="157" customFormat="1" ht="26.25" customHeight="1">
      <c r="A11" s="235" t="s">
        <v>139</v>
      </c>
      <c r="B11" s="636" t="s">
        <v>252</v>
      </c>
      <c r="C11" s="636" t="s">
        <v>253</v>
      </c>
      <c r="D11" s="636" t="s">
        <v>254</v>
      </c>
      <c r="E11" s="636" t="s">
        <v>255</v>
      </c>
      <c r="F11" s="636" t="s">
        <v>256</v>
      </c>
      <c r="G11" s="636" t="s">
        <v>257</v>
      </c>
      <c r="H11" s="636" t="s">
        <v>258</v>
      </c>
      <c r="I11" s="636" t="s">
        <v>259</v>
      </c>
      <c r="J11" s="636" t="s">
        <v>260</v>
      </c>
      <c r="K11" s="636" t="s">
        <v>261</v>
      </c>
      <c r="L11" s="636" t="s">
        <v>240</v>
      </c>
      <c r="M11" s="636" t="s">
        <v>241</v>
      </c>
      <c r="N11" s="635" t="s">
        <v>641</v>
      </c>
      <c r="P11" s="162"/>
    </row>
    <row r="12" spans="1:16" s="157" customFormat="1" ht="23.25" customHeight="1">
      <c r="A12" s="1441" t="s">
        <v>14</v>
      </c>
      <c r="B12" s="165">
        <v>80645</v>
      </c>
      <c r="C12" s="930">
        <v>80900</v>
      </c>
      <c r="D12" s="165">
        <v>80892</v>
      </c>
      <c r="E12" s="165">
        <v>81500</v>
      </c>
      <c r="F12" s="165">
        <v>81500</v>
      </c>
      <c r="G12" s="165">
        <v>81524</v>
      </c>
      <c r="H12" s="165">
        <v>82326</v>
      </c>
      <c r="I12" s="165">
        <v>82326</v>
      </c>
      <c r="J12" s="165">
        <v>82326</v>
      </c>
      <c r="K12" s="165">
        <v>80429</v>
      </c>
      <c r="L12" s="165">
        <v>80429</v>
      </c>
      <c r="M12" s="165">
        <v>80429</v>
      </c>
      <c r="N12" s="931">
        <f>AVERAGE(B12:M12)</f>
        <v>81268.833333333328</v>
      </c>
      <c r="P12" s="162"/>
    </row>
    <row r="13" spans="1:16" s="157" customFormat="1" ht="23.25" customHeight="1">
      <c r="A13" s="1442" t="s">
        <v>663</v>
      </c>
      <c r="B13" s="209">
        <v>96775</v>
      </c>
      <c r="C13" s="209">
        <v>97035</v>
      </c>
      <c r="D13" s="209">
        <v>97409</v>
      </c>
      <c r="E13" s="209">
        <v>97171</v>
      </c>
      <c r="F13" s="209">
        <v>96589</v>
      </c>
      <c r="G13" s="209">
        <v>96400</v>
      </c>
      <c r="H13" s="209">
        <v>96386</v>
      </c>
      <c r="I13" s="209">
        <v>96385</v>
      </c>
      <c r="J13" s="209">
        <v>96819</v>
      </c>
      <c r="K13" s="209">
        <v>96898</v>
      </c>
      <c r="L13" s="209">
        <v>97270</v>
      </c>
      <c r="M13" s="209">
        <v>96913</v>
      </c>
      <c r="N13" s="932">
        <f>AVERAGE(B13:M13)</f>
        <v>96837.5</v>
      </c>
      <c r="P13" s="162"/>
    </row>
    <row r="14" spans="1:16" s="157" customFormat="1" ht="23.25" customHeight="1">
      <c r="A14" s="1441" t="s">
        <v>16</v>
      </c>
      <c r="B14" s="933">
        <f>+B13-B12</f>
        <v>16130</v>
      </c>
      <c r="C14" s="933">
        <f t="shared" ref="C14:M14" si="2">+C13-C12</f>
        <v>16135</v>
      </c>
      <c r="D14" s="933">
        <f t="shared" si="2"/>
        <v>16517</v>
      </c>
      <c r="E14" s="933">
        <f t="shared" si="2"/>
        <v>15671</v>
      </c>
      <c r="F14" s="933">
        <f t="shared" si="2"/>
        <v>15089</v>
      </c>
      <c r="G14" s="933">
        <f t="shared" si="2"/>
        <v>14876</v>
      </c>
      <c r="H14" s="933">
        <f t="shared" si="2"/>
        <v>14060</v>
      </c>
      <c r="I14" s="933">
        <f t="shared" si="2"/>
        <v>14059</v>
      </c>
      <c r="J14" s="933">
        <f t="shared" si="2"/>
        <v>14493</v>
      </c>
      <c r="K14" s="933">
        <f t="shared" si="2"/>
        <v>16469</v>
      </c>
      <c r="L14" s="933">
        <f t="shared" si="2"/>
        <v>16841</v>
      </c>
      <c r="M14" s="933">
        <f t="shared" si="2"/>
        <v>16484</v>
      </c>
      <c r="N14" s="934">
        <f>AVERAGE(B14:M14)</f>
        <v>15568.666666666666</v>
      </c>
      <c r="P14" s="162"/>
    </row>
    <row r="15" spans="1:16" s="157" customFormat="1" ht="39" customHeight="1" thickBot="1">
      <c r="A15" s="1443" t="s">
        <v>27</v>
      </c>
      <c r="B15" s="935">
        <f>+B13*1/B12-1</f>
        <v>0.20001240002480003</v>
      </c>
      <c r="C15" s="935">
        <f t="shared" ref="C15:N15" si="3">+C13*1/C12-1</f>
        <v>0.1994437577255872</v>
      </c>
      <c r="D15" s="935">
        <f t="shared" si="3"/>
        <v>0.20418582801760365</v>
      </c>
      <c r="E15" s="935">
        <f t="shared" si="3"/>
        <v>0.19228220858895706</v>
      </c>
      <c r="F15" s="935">
        <f t="shared" si="3"/>
        <v>0.18514110429447861</v>
      </c>
      <c r="G15" s="935">
        <f t="shared" si="3"/>
        <v>0.18247387272459648</v>
      </c>
      <c r="H15" s="935">
        <f t="shared" si="3"/>
        <v>0.1707844423389937</v>
      </c>
      <c r="I15" s="935">
        <f t="shared" si="3"/>
        <v>0.17077229550810191</v>
      </c>
      <c r="J15" s="935">
        <f t="shared" si="3"/>
        <v>0.17604402011515186</v>
      </c>
      <c r="K15" s="935">
        <f t="shared" si="3"/>
        <v>0.20476445063347803</v>
      </c>
      <c r="L15" s="935">
        <f t="shared" si="3"/>
        <v>0.20938964801253279</v>
      </c>
      <c r="M15" s="935">
        <f t="shared" si="3"/>
        <v>0.20495095052779466</v>
      </c>
      <c r="N15" s="936">
        <f t="shared" si="3"/>
        <v>0.19156995404142219</v>
      </c>
      <c r="O15" s="161"/>
      <c r="P15" s="162"/>
    </row>
    <row r="18" spans="1:16" ht="15.75" thickBot="1">
      <c r="C18" s="6"/>
      <c r="D18" s="6"/>
      <c r="E18" s="6"/>
      <c r="F18" s="6"/>
      <c r="G18" s="6"/>
      <c r="J18" s="1008"/>
    </row>
    <row r="19" spans="1:16" s="157" customFormat="1" ht="33.75" customHeight="1">
      <c r="A19" s="235" t="s">
        <v>32</v>
      </c>
      <c r="B19" s="636" t="s">
        <v>14</v>
      </c>
      <c r="C19" s="636" t="s">
        <v>233</v>
      </c>
      <c r="D19" s="636" t="s">
        <v>664</v>
      </c>
      <c r="E19" s="635" t="s">
        <v>665</v>
      </c>
      <c r="J19" s="162"/>
    </row>
    <row r="20" spans="1:16" s="157" customFormat="1" ht="17.25" customHeight="1">
      <c r="A20" s="582" t="s">
        <v>247</v>
      </c>
      <c r="B20" s="939">
        <f>+B12</f>
        <v>80645</v>
      </c>
      <c r="C20" s="939">
        <f>+B13</f>
        <v>96775</v>
      </c>
      <c r="D20" s="939">
        <f>+C20-B20</f>
        <v>16130</v>
      </c>
      <c r="E20" s="940">
        <f>+C20*1/B20-1</f>
        <v>0.20001240002480003</v>
      </c>
      <c r="J20" s="162"/>
    </row>
    <row r="21" spans="1:16" s="157" customFormat="1" ht="17.25" customHeight="1">
      <c r="A21" s="579" t="s">
        <v>12</v>
      </c>
      <c r="B21" s="941">
        <f>+C12</f>
        <v>80900</v>
      </c>
      <c r="C21" s="941">
        <f>+C13</f>
        <v>97035</v>
      </c>
      <c r="D21" s="941">
        <f t="shared" ref="D21:D31" si="4">+C21-B21</f>
        <v>16135</v>
      </c>
      <c r="E21" s="942">
        <f t="shared" ref="E21:E31" si="5">+C21*1/B21-1</f>
        <v>0.1994437577255872</v>
      </c>
      <c r="J21" s="162"/>
      <c r="P21" s="161"/>
    </row>
    <row r="22" spans="1:16" s="157" customFormat="1" ht="17.25" customHeight="1">
      <c r="A22" s="582" t="s">
        <v>13</v>
      </c>
      <c r="B22" s="939">
        <f>+D12</f>
        <v>80892</v>
      </c>
      <c r="C22" s="939">
        <f>+D13</f>
        <v>97409</v>
      </c>
      <c r="D22" s="939">
        <f t="shared" si="4"/>
        <v>16517</v>
      </c>
      <c r="E22" s="940">
        <f t="shared" si="5"/>
        <v>0.20418582801760365</v>
      </c>
      <c r="J22" s="162"/>
      <c r="P22" s="162"/>
    </row>
    <row r="23" spans="1:16" s="157" customFormat="1" ht="17.25" customHeight="1">
      <c r="A23" s="579" t="s">
        <v>53</v>
      </c>
      <c r="B23" s="943">
        <f>+E12</f>
        <v>81500</v>
      </c>
      <c r="C23" s="943">
        <f>+E13</f>
        <v>97171</v>
      </c>
      <c r="D23" s="943">
        <f t="shared" si="4"/>
        <v>15671</v>
      </c>
      <c r="E23" s="942">
        <f t="shared" si="5"/>
        <v>0.19228220858895706</v>
      </c>
      <c r="J23" s="162"/>
    </row>
    <row r="24" spans="1:16" ht="17.25" customHeight="1">
      <c r="A24" s="582" t="s">
        <v>243</v>
      </c>
      <c r="B24" s="939">
        <f>+F12</f>
        <v>81500</v>
      </c>
      <c r="C24" s="939">
        <f>+F13</f>
        <v>96589</v>
      </c>
      <c r="D24" s="939">
        <f t="shared" si="4"/>
        <v>15089</v>
      </c>
      <c r="E24" s="940">
        <f t="shared" si="5"/>
        <v>0.18514110429447861</v>
      </c>
      <c r="F24" s="157"/>
      <c r="G24" s="157"/>
      <c r="H24" s="157"/>
      <c r="I24" s="157"/>
      <c r="J24" s="162"/>
      <c r="K24" s="157"/>
      <c r="L24" s="157"/>
      <c r="M24" s="157"/>
      <c r="N24" s="157"/>
      <c r="O24" s="157"/>
    </row>
    <row r="25" spans="1:16" ht="17.25" customHeight="1">
      <c r="A25" s="579" t="s">
        <v>54</v>
      </c>
      <c r="B25" s="943">
        <f>+G$12</f>
        <v>81524</v>
      </c>
      <c r="C25" s="943">
        <f>+G13</f>
        <v>96400</v>
      </c>
      <c r="D25" s="943">
        <f t="shared" si="4"/>
        <v>14876</v>
      </c>
      <c r="E25" s="942">
        <f t="shared" si="5"/>
        <v>0.18247387272459648</v>
      </c>
      <c r="F25" s="157"/>
      <c r="G25" s="157"/>
      <c r="H25" s="157"/>
      <c r="I25" s="157"/>
      <c r="J25" s="162"/>
      <c r="K25" s="157"/>
      <c r="L25" s="157"/>
      <c r="M25" s="157"/>
      <c r="N25" s="157"/>
      <c r="O25" s="157"/>
    </row>
    <row r="26" spans="1:16" ht="17.25" customHeight="1">
      <c r="A26" s="582" t="s">
        <v>56</v>
      </c>
      <c r="B26" s="939">
        <f>+H$12</f>
        <v>82326</v>
      </c>
      <c r="C26" s="939">
        <f>+H13</f>
        <v>96386</v>
      </c>
      <c r="D26" s="939">
        <f t="shared" si="4"/>
        <v>14060</v>
      </c>
      <c r="E26" s="940">
        <f t="shared" si="5"/>
        <v>0.1707844423389937</v>
      </c>
      <c r="F26" s="157"/>
      <c r="G26" s="157"/>
      <c r="H26" s="157"/>
      <c r="I26" s="157"/>
      <c r="J26" s="162"/>
      <c r="K26" s="157"/>
      <c r="L26" s="157"/>
      <c r="M26" s="157"/>
      <c r="N26" s="157"/>
      <c r="O26" s="157"/>
    </row>
    <row r="27" spans="1:16" ht="17.25" customHeight="1">
      <c r="A27" s="579" t="s">
        <v>68</v>
      </c>
      <c r="B27" s="943">
        <f>+I$12</f>
        <v>82326</v>
      </c>
      <c r="C27" s="943">
        <f>+I13</f>
        <v>96385</v>
      </c>
      <c r="D27" s="943">
        <f t="shared" si="4"/>
        <v>14059</v>
      </c>
      <c r="E27" s="942">
        <f t="shared" si="5"/>
        <v>0.17077229550810191</v>
      </c>
      <c r="F27" s="157"/>
      <c r="G27" s="157"/>
      <c r="H27" s="157"/>
      <c r="I27" s="157"/>
      <c r="J27" s="162"/>
      <c r="K27" s="157"/>
      <c r="L27" s="157"/>
      <c r="M27" s="157"/>
      <c r="N27" s="157"/>
      <c r="O27" s="157"/>
    </row>
    <row r="28" spans="1:16" ht="17.25" customHeight="1">
      <c r="A28" s="582" t="s">
        <v>69</v>
      </c>
      <c r="B28" s="939">
        <f>+J$12</f>
        <v>82326</v>
      </c>
      <c r="C28" s="939">
        <f>+J13</f>
        <v>96819</v>
      </c>
      <c r="D28" s="939">
        <f t="shared" si="4"/>
        <v>14493</v>
      </c>
      <c r="E28" s="940">
        <f t="shared" si="5"/>
        <v>0.17604402011515186</v>
      </c>
      <c r="J28" s="1008"/>
    </row>
    <row r="29" spans="1:16" ht="17.25" customHeight="1">
      <c r="A29" s="579" t="s">
        <v>248</v>
      </c>
      <c r="B29" s="943">
        <f>+K$12</f>
        <v>80429</v>
      </c>
      <c r="C29" s="943">
        <f>+K13</f>
        <v>96898</v>
      </c>
      <c r="D29" s="943">
        <f t="shared" si="4"/>
        <v>16469</v>
      </c>
      <c r="E29" s="942">
        <f t="shared" si="5"/>
        <v>0.20476445063347803</v>
      </c>
      <c r="J29" s="1008"/>
    </row>
    <row r="30" spans="1:16" ht="17.25" customHeight="1">
      <c r="A30" s="582" t="s">
        <v>244</v>
      </c>
      <c r="B30" s="939">
        <f>+L$12</f>
        <v>80429</v>
      </c>
      <c r="C30" s="939">
        <f>+L13</f>
        <v>97270</v>
      </c>
      <c r="D30" s="939">
        <f t="shared" si="4"/>
        <v>16841</v>
      </c>
      <c r="E30" s="940">
        <f t="shared" si="5"/>
        <v>0.20938964801253279</v>
      </c>
    </row>
    <row r="31" spans="1:16" ht="17.25" customHeight="1" thickBot="1">
      <c r="A31" s="584" t="s">
        <v>249</v>
      </c>
      <c r="B31" s="944">
        <f>+M$12</f>
        <v>80429</v>
      </c>
      <c r="C31" s="944">
        <f>+M13</f>
        <v>96913</v>
      </c>
      <c r="D31" s="944">
        <f t="shared" si="4"/>
        <v>16484</v>
      </c>
      <c r="E31" s="945">
        <f t="shared" si="5"/>
        <v>0.20495095052779466</v>
      </c>
    </row>
    <row r="32" spans="1:16" ht="21" customHeight="1" thickBot="1">
      <c r="A32" s="946" t="s">
        <v>391</v>
      </c>
      <c r="B32" s="937">
        <f>AVERAGE(B20:B31)</f>
        <v>81268.833333333328</v>
      </c>
      <c r="C32" s="937">
        <f>AVERAGE(C20:C31)</f>
        <v>96837.5</v>
      </c>
      <c r="D32" s="937">
        <f>AVERAGE(D20:D31)</f>
        <v>15568.666666666666</v>
      </c>
      <c r="E32" s="938">
        <f>AVERAGE(E20:E31)</f>
        <v>0.191687081542673</v>
      </c>
    </row>
    <row r="153" spans="7:28">
      <c r="G153" s="115">
        <f>SUM(G10:G152)</f>
        <v>192800.18247387273</v>
      </c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  <c r="AA153" s="115"/>
      <c r="AB153" s="115"/>
    </row>
  </sheetData>
  <mergeCells count="3">
    <mergeCell ref="A9:N9"/>
    <mergeCell ref="A2:N2"/>
    <mergeCell ref="A6:A7"/>
  </mergeCells>
  <phoneticPr fontId="171" type="noConversion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O53"/>
  <sheetViews>
    <sheetView showGridLines="0" zoomScale="80" zoomScaleNormal="80" workbookViewId="0">
      <selection activeCell="A4" sqref="A4:G19"/>
    </sheetView>
  </sheetViews>
  <sheetFormatPr baseColWidth="10" defaultRowHeight="15"/>
  <cols>
    <col min="1" max="7" width="16.7109375" customWidth="1"/>
    <col min="8" max="15" width="15.140625" customWidth="1"/>
  </cols>
  <sheetData>
    <row r="1" spans="1:15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15" ht="15.75">
      <c r="A2" s="1890" t="s">
        <v>788</v>
      </c>
      <c r="B2" s="1890"/>
      <c r="C2" s="1890"/>
      <c r="D2" s="1890"/>
      <c r="E2" s="1890"/>
      <c r="F2" s="1890"/>
      <c r="G2" s="1890"/>
    </row>
    <row r="3" spans="1:15" s="157" customFormat="1" ht="19.5" thickBot="1">
      <c r="B3" s="159">
        <v>101304</v>
      </c>
      <c r="D3" s="160">
        <v>7474</v>
      </c>
    </row>
    <row r="4" spans="1:15" s="157" customFormat="1" ht="21" customHeight="1">
      <c r="A4" s="1893" t="s">
        <v>32</v>
      </c>
      <c r="B4" s="1895" t="s">
        <v>913</v>
      </c>
      <c r="C4" s="1896"/>
      <c r="D4" s="1896"/>
      <c r="E4" s="1897"/>
      <c r="F4" s="1906" t="s">
        <v>300</v>
      </c>
      <c r="G4" s="1908" t="s">
        <v>33</v>
      </c>
    </row>
    <row r="5" spans="1:15" s="157" customFormat="1" ht="21" customHeight="1">
      <c r="A5" s="1894"/>
      <c r="B5" s="556" t="s">
        <v>812</v>
      </c>
      <c r="C5" s="556" t="s">
        <v>251</v>
      </c>
      <c r="D5" s="556" t="s">
        <v>811</v>
      </c>
      <c r="E5" s="556" t="s">
        <v>251</v>
      </c>
      <c r="F5" s="1907"/>
      <c r="G5" s="1909"/>
    </row>
    <row r="6" spans="1:15" s="157" customFormat="1" ht="15" customHeight="1">
      <c r="A6" s="585" t="s">
        <v>247</v>
      </c>
      <c r="B6" s="1445">
        <v>89877</v>
      </c>
      <c r="C6" s="1446">
        <f>+B6*1/B3-1</f>
        <v>-0.11279909973939828</v>
      </c>
      <c r="D6" s="1445">
        <v>6898</v>
      </c>
      <c r="E6" s="1446">
        <f>+D6*1/D3-1</f>
        <v>-7.7067166176077118E-2</v>
      </c>
      <c r="F6" s="1447">
        <f t="shared" ref="F6:F17" si="0">+D6+B6</f>
        <v>96775</v>
      </c>
      <c r="G6" s="1448">
        <f>+F6*1/'TABLA JURIDICA'!J4-1</f>
        <v>5.0890585241729624E-3</v>
      </c>
    </row>
    <row r="7" spans="1:15" s="157" customFormat="1" ht="15" customHeight="1">
      <c r="A7" s="586" t="s">
        <v>12</v>
      </c>
      <c r="B7" s="1449">
        <v>90115</v>
      </c>
      <c r="C7" s="1450">
        <f>+B7*1/B6-1</f>
        <v>2.6480634645125178E-3</v>
      </c>
      <c r="D7" s="1449">
        <v>6920</v>
      </c>
      <c r="E7" s="1450">
        <f t="shared" ref="E7:E17" si="1">+D7*1/D6-1</f>
        <v>3.1893302406493795E-3</v>
      </c>
      <c r="F7" s="1451">
        <f t="shared" si="0"/>
        <v>97035</v>
      </c>
      <c r="G7" s="1452">
        <f t="shared" ref="G7:G17" si="2">+F7*1/F6-1</f>
        <v>2.6866442779642785E-3</v>
      </c>
    </row>
    <row r="8" spans="1:15" s="157" customFormat="1" ht="15" customHeight="1">
      <c r="A8" s="585" t="s">
        <v>13</v>
      </c>
      <c r="B8" s="1445">
        <v>90420</v>
      </c>
      <c r="C8" s="1453">
        <f t="shared" ref="C8:C17" si="3">+B8*1/B7-1</f>
        <v>3.3845641680074756E-3</v>
      </c>
      <c r="D8" s="1445">
        <v>6989</v>
      </c>
      <c r="E8" s="1446">
        <f t="shared" si="1"/>
        <v>9.971098265896039E-3</v>
      </c>
      <c r="F8" s="1447">
        <f t="shared" si="0"/>
        <v>97409</v>
      </c>
      <c r="G8" s="1448">
        <f t="shared" si="2"/>
        <v>3.8542793837275102E-3</v>
      </c>
    </row>
    <row r="9" spans="1:15" s="157" customFormat="1" ht="15" customHeight="1">
      <c r="A9" s="586" t="s">
        <v>53</v>
      </c>
      <c r="B9" s="1449">
        <v>90260</v>
      </c>
      <c r="C9" s="1450">
        <f t="shared" si="3"/>
        <v>-1.7695200176951476E-3</v>
      </c>
      <c r="D9" s="1449">
        <v>6911</v>
      </c>
      <c r="E9" s="1450">
        <f t="shared" si="1"/>
        <v>-1.116039490628129E-2</v>
      </c>
      <c r="F9" s="1451">
        <f t="shared" si="0"/>
        <v>97171</v>
      </c>
      <c r="G9" s="1452">
        <f t="shared" si="2"/>
        <v>-2.4433060600149714E-3</v>
      </c>
    </row>
    <row r="10" spans="1:15" s="157" customFormat="1" ht="15" customHeight="1">
      <c r="A10" s="585" t="s">
        <v>243</v>
      </c>
      <c r="B10" s="1445">
        <v>89725</v>
      </c>
      <c r="C10" s="1453">
        <f t="shared" si="3"/>
        <v>-5.9273210724573033E-3</v>
      </c>
      <c r="D10" s="1445">
        <v>6864</v>
      </c>
      <c r="E10" s="1446">
        <f t="shared" si="1"/>
        <v>-6.800752423672396E-3</v>
      </c>
      <c r="F10" s="1447">
        <f t="shared" si="0"/>
        <v>96589</v>
      </c>
      <c r="G10" s="1448">
        <f t="shared" si="2"/>
        <v>-5.9894412942133046E-3</v>
      </c>
    </row>
    <row r="11" spans="1:15" s="157" customFormat="1" ht="15" customHeight="1">
      <c r="A11" s="586" t="s">
        <v>54</v>
      </c>
      <c r="B11" s="1449">
        <v>89606</v>
      </c>
      <c r="C11" s="1450">
        <f t="shared" si="3"/>
        <v>-1.3262747283365739E-3</v>
      </c>
      <c r="D11" s="1449">
        <v>6794</v>
      </c>
      <c r="E11" s="1450">
        <f t="shared" si="1"/>
        <v>-1.0198135198135172E-2</v>
      </c>
      <c r="F11" s="1451">
        <f t="shared" si="0"/>
        <v>96400</v>
      </c>
      <c r="G11" s="1452">
        <f t="shared" si="2"/>
        <v>-1.9567445568335895E-3</v>
      </c>
    </row>
    <row r="12" spans="1:15" s="157" customFormat="1" ht="15" customHeight="1">
      <c r="A12" s="585" t="s">
        <v>56</v>
      </c>
      <c r="B12" s="1445">
        <v>89530</v>
      </c>
      <c r="C12" s="1453">
        <f t="shared" si="3"/>
        <v>-8.4815748945388236E-4</v>
      </c>
      <c r="D12" s="1445">
        <v>6856</v>
      </c>
      <c r="E12" s="1446">
        <f t="shared" si="1"/>
        <v>9.1256991463055659E-3</v>
      </c>
      <c r="F12" s="1447">
        <f t="shared" si="0"/>
        <v>96386</v>
      </c>
      <c r="G12" s="1448">
        <f t="shared" si="2"/>
        <v>-1.4522821576767875E-4</v>
      </c>
    </row>
    <row r="13" spans="1:15" s="157" customFormat="1" ht="15" customHeight="1">
      <c r="A13" s="586" t="s">
        <v>68</v>
      </c>
      <c r="B13" s="1449">
        <v>89569</v>
      </c>
      <c r="C13" s="1450">
        <f t="shared" si="3"/>
        <v>4.3560817603038871E-4</v>
      </c>
      <c r="D13" s="1449">
        <v>6816</v>
      </c>
      <c r="E13" s="1450">
        <f t="shared" si="1"/>
        <v>-5.834305717619559E-3</v>
      </c>
      <c r="F13" s="1451">
        <f t="shared" si="0"/>
        <v>96385</v>
      </c>
      <c r="G13" s="1452">
        <f t="shared" si="2"/>
        <v>-1.03749507189832E-5</v>
      </c>
    </row>
    <row r="14" spans="1:15" s="157" customFormat="1" ht="15" customHeight="1">
      <c r="A14" s="585" t="s">
        <v>69</v>
      </c>
      <c r="B14" s="1445">
        <v>90054</v>
      </c>
      <c r="C14" s="1453">
        <f t="shared" si="3"/>
        <v>5.4148198595496133E-3</v>
      </c>
      <c r="D14" s="1445">
        <v>6765</v>
      </c>
      <c r="E14" s="1446">
        <f t="shared" si="1"/>
        <v>-7.4823943661971315E-3</v>
      </c>
      <c r="F14" s="1447">
        <f t="shared" si="0"/>
        <v>96819</v>
      </c>
      <c r="G14" s="1448">
        <f t="shared" si="2"/>
        <v>4.5027753281112748E-3</v>
      </c>
    </row>
    <row r="15" spans="1:15" s="157" customFormat="1" ht="15" customHeight="1">
      <c r="A15" s="586" t="s">
        <v>248</v>
      </c>
      <c r="B15" s="1449">
        <v>90163</v>
      </c>
      <c r="C15" s="1450">
        <f t="shared" si="3"/>
        <v>1.2103848801829908E-3</v>
      </c>
      <c r="D15" s="1449">
        <v>6735</v>
      </c>
      <c r="E15" s="1450">
        <f t="shared" si="1"/>
        <v>-4.4345898004434225E-3</v>
      </c>
      <c r="F15" s="1451">
        <f t="shared" si="0"/>
        <v>96898</v>
      </c>
      <c r="G15" s="1452">
        <f t="shared" si="2"/>
        <v>8.1595554591551434E-4</v>
      </c>
    </row>
    <row r="16" spans="1:15" s="157" customFormat="1" ht="15" customHeight="1">
      <c r="A16" s="585" t="s">
        <v>244</v>
      </c>
      <c r="B16" s="1445">
        <v>90475</v>
      </c>
      <c r="C16" s="1453">
        <f t="shared" si="3"/>
        <v>3.4603994986857067E-3</v>
      </c>
      <c r="D16" s="1445">
        <v>6795</v>
      </c>
      <c r="E16" s="1446">
        <f t="shared" si="1"/>
        <v>8.9086859688196629E-3</v>
      </c>
      <c r="F16" s="1447">
        <f t="shared" si="0"/>
        <v>97270</v>
      </c>
      <c r="G16" s="1448">
        <f t="shared" si="2"/>
        <v>3.8390885260790597E-3</v>
      </c>
    </row>
    <row r="17" spans="1:7" s="157" customFormat="1" ht="15" customHeight="1">
      <c r="A17" s="1444" t="s">
        <v>249</v>
      </c>
      <c r="B17" s="1449">
        <v>90241</v>
      </c>
      <c r="C17" s="1450">
        <f t="shared" si="3"/>
        <v>-2.5863498203924085E-3</v>
      </c>
      <c r="D17" s="1449">
        <v>6672</v>
      </c>
      <c r="E17" s="1454">
        <f t="shared" si="1"/>
        <v>-1.8101545253863094E-2</v>
      </c>
      <c r="F17" s="1455">
        <f t="shared" si="0"/>
        <v>96913</v>
      </c>
      <c r="G17" s="1456">
        <f t="shared" si="2"/>
        <v>-3.6701963606455834E-3</v>
      </c>
    </row>
    <row r="18" spans="1:7" s="157" customFormat="1" ht="21" customHeight="1">
      <c r="A18" s="1891" t="s">
        <v>250</v>
      </c>
      <c r="B18" s="1457">
        <f t="shared" ref="B18:G18" si="4">AVERAGE(B6:B17)</f>
        <v>90002.916666666672</v>
      </c>
      <c r="C18" s="1458">
        <f t="shared" si="4"/>
        <v>-9.0585735683970745E-3</v>
      </c>
      <c r="D18" s="1457">
        <f t="shared" si="4"/>
        <v>6834.583333333333</v>
      </c>
      <c r="E18" s="1458">
        <f t="shared" si="4"/>
        <v>-9.157039185051544E-3</v>
      </c>
      <c r="F18" s="1457">
        <f t="shared" si="4"/>
        <v>96837.5</v>
      </c>
      <c r="G18" s="1459">
        <f t="shared" si="4"/>
        <v>5.4770917898137406E-4</v>
      </c>
    </row>
    <row r="19" spans="1:7" s="157" customFormat="1" ht="21" customHeight="1" thickBot="1">
      <c r="A19" s="1892"/>
      <c r="B19" s="1460">
        <f>+B18/F18</f>
        <v>0.9294221419043931</v>
      </c>
      <c r="C19" s="1461"/>
      <c r="D19" s="1460">
        <f>+D18/F18</f>
        <v>7.0577858095606905E-2</v>
      </c>
      <c r="E19" s="1461"/>
      <c r="F19" s="1460">
        <f>SUM(B19:D19)</f>
        <v>1</v>
      </c>
      <c r="G19" s="1462"/>
    </row>
    <row r="20" spans="1:7" s="157" customFormat="1" ht="16.5" customHeight="1"/>
    <row r="21" spans="1:7" s="157" customFormat="1" ht="14.25">
      <c r="D21" s="552">
        <f>+B18/D18</f>
        <v>13.168749618972141</v>
      </c>
    </row>
    <row r="22" spans="1:7" s="157" customFormat="1" ht="32.25" customHeight="1">
      <c r="B22" s="161"/>
      <c r="D22" s="161"/>
      <c r="F22" s="161">
        <f>+B17/F17</f>
        <v>0.93115474704116064</v>
      </c>
    </row>
    <row r="23" spans="1:7" s="157" customFormat="1" ht="25.5" customHeight="1">
      <c r="A23" s="905" t="s">
        <v>613</v>
      </c>
      <c r="B23" s="919">
        <v>51049498</v>
      </c>
      <c r="C23" s="905"/>
      <c r="D23" s="52"/>
      <c r="E23" s="554"/>
      <c r="F23" s="161">
        <f>+D17/F17</f>
        <v>6.8845252958839365E-2</v>
      </c>
    </row>
    <row r="24" spans="1:7" ht="18.75">
      <c r="A24" s="905" t="s">
        <v>387</v>
      </c>
      <c r="B24" s="1227">
        <f>+C24/B23</f>
        <v>0.48800148828104051</v>
      </c>
      <c r="C24" s="906">
        <v>24912231</v>
      </c>
      <c r="D24" s="823"/>
      <c r="E24" s="553"/>
    </row>
    <row r="25" spans="1:7" ht="18.75">
      <c r="A25" s="905" t="s">
        <v>234</v>
      </c>
      <c r="B25" s="1227">
        <f>+C25/B23</f>
        <v>0.51199851171895949</v>
      </c>
      <c r="C25" s="906">
        <v>26137267</v>
      </c>
      <c r="D25" s="823"/>
      <c r="E25" s="553"/>
    </row>
    <row r="26" spans="1:7" ht="15.75">
      <c r="B26" s="551"/>
      <c r="C26" s="51"/>
      <c r="D26" s="51"/>
      <c r="E26" s="51"/>
    </row>
    <row r="27" spans="1:7" ht="15.75">
      <c r="B27" s="551"/>
      <c r="C27" s="51"/>
      <c r="D27" s="51"/>
      <c r="E27" s="51"/>
    </row>
    <row r="28" spans="1:7" ht="15.75">
      <c r="B28" s="51"/>
      <c r="C28" s="51"/>
      <c r="D28" s="51"/>
      <c r="E28" s="51"/>
    </row>
    <row r="30" spans="1:7" ht="37.5">
      <c r="A30" s="905" t="s">
        <v>388</v>
      </c>
      <c r="B30" s="906">
        <f>SUM(B31:B32)</f>
        <v>36078248</v>
      </c>
      <c r="C30" s="823"/>
      <c r="E30" s="555"/>
    </row>
    <row r="31" spans="1:7" ht="18.75">
      <c r="A31" s="905" t="s">
        <v>389</v>
      </c>
      <c r="B31" s="906">
        <v>17296667</v>
      </c>
      <c r="C31" s="823"/>
      <c r="E31" s="555"/>
    </row>
    <row r="32" spans="1:7" ht="18.75">
      <c r="A32" s="905" t="s">
        <v>390</v>
      </c>
      <c r="B32" s="906">
        <v>18781581</v>
      </c>
      <c r="C32" s="823"/>
      <c r="E32" s="555"/>
    </row>
    <row r="34" spans="1:10">
      <c r="A34" s="1739" t="s">
        <v>726</v>
      </c>
      <c r="B34" s="1739"/>
      <c r="C34" s="1739"/>
      <c r="D34" s="1739"/>
      <c r="E34" s="16"/>
      <c r="F34" s="16"/>
      <c r="G34" s="16"/>
      <c r="H34" s="16"/>
      <c r="I34" s="16"/>
      <c r="J34" s="16"/>
    </row>
    <row r="35" spans="1:10" ht="15.75" thickBot="1">
      <c r="A35" s="16"/>
      <c r="B35" s="16"/>
      <c r="C35" s="16"/>
      <c r="D35" s="16"/>
      <c r="E35" s="16"/>
      <c r="F35" s="16"/>
      <c r="G35" s="16"/>
      <c r="H35" s="16"/>
      <c r="I35" s="16"/>
      <c r="J35" s="16"/>
    </row>
    <row r="36" spans="1:10" ht="21.75" customHeight="1">
      <c r="A36" s="1898" t="s">
        <v>394</v>
      </c>
      <c r="B36" s="1899"/>
      <c r="C36" s="1900"/>
      <c r="D36" s="907" t="s">
        <v>236</v>
      </c>
      <c r="E36" s="907" t="s">
        <v>234</v>
      </c>
      <c r="F36" s="908" t="s">
        <v>6</v>
      </c>
      <c r="G36" s="16"/>
      <c r="H36" s="16"/>
      <c r="I36" s="16"/>
      <c r="J36" s="16"/>
    </row>
    <row r="37" spans="1:10" ht="18" customHeight="1">
      <c r="A37" s="1910" t="s">
        <v>810</v>
      </c>
      <c r="B37" s="1802"/>
      <c r="C37" s="1911"/>
      <c r="D37" s="909">
        <f>+C24</f>
        <v>24912231</v>
      </c>
      <c r="E37" s="909">
        <f>+C25</f>
        <v>26137267</v>
      </c>
      <c r="F37" s="910">
        <f>SUM(D37:E37)</f>
        <v>51049498</v>
      </c>
      <c r="G37" s="16"/>
      <c r="H37" s="16"/>
      <c r="I37" s="16"/>
      <c r="J37" s="16"/>
    </row>
    <row r="38" spans="1:10" ht="18" customHeight="1">
      <c r="A38" s="1912" t="s">
        <v>246</v>
      </c>
      <c r="B38" s="1913"/>
      <c r="C38" s="1914"/>
      <c r="D38" s="911">
        <f>+B17</f>
        <v>90241</v>
      </c>
      <c r="E38" s="911">
        <f>+D17</f>
        <v>6672</v>
      </c>
      <c r="F38" s="912">
        <f>SUM(D38:E38)</f>
        <v>96913</v>
      </c>
      <c r="G38" s="16"/>
      <c r="H38" s="16"/>
      <c r="I38" s="16"/>
      <c r="J38" s="16"/>
    </row>
    <row r="39" spans="1:10" ht="18" customHeight="1">
      <c r="A39" s="1915" t="s">
        <v>396</v>
      </c>
      <c r="B39" s="1916"/>
      <c r="C39" s="1917"/>
      <c r="D39" s="913">
        <f>+D38*100000/D37</f>
        <v>362.2357226857763</v>
      </c>
      <c r="E39" s="913">
        <f>+E38*100000/E37</f>
        <v>25.526769879957229</v>
      </c>
      <c r="F39" s="914">
        <f>+F38*100000/F37</f>
        <v>189.84123996674757</v>
      </c>
      <c r="G39" s="16"/>
      <c r="H39" s="16"/>
      <c r="I39" s="16"/>
      <c r="J39" s="16"/>
    </row>
    <row r="40" spans="1:10" ht="18" customHeight="1">
      <c r="A40" s="1910" t="s">
        <v>395</v>
      </c>
      <c r="B40" s="1802"/>
      <c r="C40" s="1911"/>
      <c r="D40" s="915">
        <v>17617733</v>
      </c>
      <c r="E40" s="915">
        <v>19141901</v>
      </c>
      <c r="F40" s="916">
        <f>SUM(D40:E40)</f>
        <v>36759634</v>
      </c>
      <c r="G40" s="16"/>
      <c r="H40" s="16"/>
      <c r="I40" s="16"/>
      <c r="J40" s="16"/>
    </row>
    <row r="41" spans="1:10" ht="18" customHeight="1" thickBot="1">
      <c r="A41" s="1903" t="s">
        <v>662</v>
      </c>
      <c r="B41" s="1904"/>
      <c r="C41" s="1905"/>
      <c r="D41" s="917">
        <f>+D38*100000/D40</f>
        <v>512.21686694877258</v>
      </c>
      <c r="E41" s="917">
        <f>+E38*100000/E40</f>
        <v>34.855472296090134</v>
      </c>
      <c r="F41" s="918">
        <f>+F38*100000/F40</f>
        <v>263.63973047174517</v>
      </c>
      <c r="G41" s="16"/>
      <c r="H41" s="16"/>
      <c r="I41" s="16"/>
      <c r="J41" s="16"/>
    </row>
    <row r="42" spans="1:10">
      <c r="A42" s="16"/>
      <c r="B42" s="16"/>
      <c r="C42" s="16"/>
      <c r="D42" s="16"/>
      <c r="E42" s="16"/>
      <c r="F42" s="16"/>
      <c r="G42" s="16"/>
      <c r="H42" s="16"/>
      <c r="I42" s="16"/>
      <c r="J42" s="16"/>
    </row>
    <row r="43" spans="1:10" ht="15.75" thickBot="1">
      <c r="A43" s="16"/>
      <c r="B43" s="16"/>
      <c r="C43" s="16"/>
      <c r="D43" s="16"/>
      <c r="E43" s="16"/>
      <c r="F43" s="16"/>
      <c r="G43" s="16"/>
      <c r="H43" s="16"/>
      <c r="I43" s="16"/>
      <c r="J43" s="16"/>
    </row>
    <row r="44" spans="1:10" s="690" customFormat="1" ht="26.25" customHeight="1" thickBot="1">
      <c r="B44" s="894" t="s">
        <v>314</v>
      </c>
      <c r="C44" s="895">
        <v>2016</v>
      </c>
      <c r="D44" s="895">
        <v>2017</v>
      </c>
      <c r="E44" s="895">
        <v>2018</v>
      </c>
      <c r="F44" s="895">
        <v>2019</v>
      </c>
      <c r="G44" s="895">
        <v>2020</v>
      </c>
      <c r="H44" s="896" t="s">
        <v>784</v>
      </c>
    </row>
    <row r="45" spans="1:10" s="690" customFormat="1" ht="26.25" customHeight="1">
      <c r="A45" s="922">
        <v>112188</v>
      </c>
      <c r="B45" s="920" t="s">
        <v>236</v>
      </c>
      <c r="C45" s="922">
        <v>110753</v>
      </c>
      <c r="D45" s="922">
        <v>107136</v>
      </c>
      <c r="E45" s="922">
        <v>110294</v>
      </c>
      <c r="F45" s="922">
        <v>115045</v>
      </c>
      <c r="G45" s="922">
        <v>89445</v>
      </c>
      <c r="H45" s="923">
        <f>+B17</f>
        <v>90241</v>
      </c>
    </row>
    <row r="46" spans="1:10" s="690" customFormat="1" ht="26.25" customHeight="1">
      <c r="A46" s="924">
        <v>8256</v>
      </c>
      <c r="B46" s="921" t="s">
        <v>234</v>
      </c>
      <c r="C46" s="924">
        <v>7779</v>
      </c>
      <c r="D46" s="924">
        <v>7614</v>
      </c>
      <c r="E46" s="924">
        <v>8219</v>
      </c>
      <c r="F46" s="924">
        <v>8757</v>
      </c>
      <c r="G46" s="924">
        <v>6840</v>
      </c>
      <c r="H46" s="925">
        <f>+D17</f>
        <v>6672</v>
      </c>
    </row>
    <row r="47" spans="1:10" s="690" customFormat="1" ht="23.25" customHeight="1">
      <c r="A47" s="690">
        <f>SUM(A45:A46)</f>
        <v>120444</v>
      </c>
      <c r="B47" s="1901" t="s">
        <v>316</v>
      </c>
      <c r="C47" s="926">
        <f t="shared" ref="C47:H47" si="5">SUM(C45:C46)</f>
        <v>118532</v>
      </c>
      <c r="D47" s="926">
        <f t="shared" si="5"/>
        <v>114750</v>
      </c>
      <c r="E47" s="926">
        <f t="shared" si="5"/>
        <v>118513</v>
      </c>
      <c r="F47" s="926">
        <f t="shared" si="5"/>
        <v>123802</v>
      </c>
      <c r="G47" s="926">
        <f t="shared" si="5"/>
        <v>96285</v>
      </c>
      <c r="H47" s="927">
        <f t="shared" si="5"/>
        <v>96913</v>
      </c>
    </row>
    <row r="48" spans="1:10" s="690" customFormat="1" ht="23.25" customHeight="1" thickBot="1">
      <c r="B48" s="1902"/>
      <c r="C48" s="928">
        <f>+C47*1/A47-1</f>
        <v>-1.5874597323237372E-2</v>
      </c>
      <c r="D48" s="928">
        <f>+D47*1/C47-1</f>
        <v>-3.1906995579252806E-2</v>
      </c>
      <c r="E48" s="928">
        <f>+E47*1/D47-1</f>
        <v>3.2793028322440021E-2</v>
      </c>
      <c r="F48" s="928">
        <f>+F47*1/E47-1</f>
        <v>4.4628015491971373E-2</v>
      </c>
      <c r="G48" s="928">
        <f>+G47*1/F47-1</f>
        <v>-0.22226619925364699</v>
      </c>
      <c r="H48" s="929">
        <f>+H47*1/G47-1</f>
        <v>6.5223035779196081E-3</v>
      </c>
    </row>
    <row r="50" spans="3:8">
      <c r="C50" s="15">
        <f>+C45*1/A45-1</f>
        <v>-1.2791029343601767E-2</v>
      </c>
      <c r="D50" s="15">
        <f t="shared" ref="D50:H51" si="6">+D45*1/C45-1</f>
        <v>-3.2658257564129212E-2</v>
      </c>
      <c r="E50" s="15">
        <f t="shared" si="6"/>
        <v>2.947655316606923E-2</v>
      </c>
      <c r="F50" s="15">
        <f t="shared" si="6"/>
        <v>4.3075779280831172E-2</v>
      </c>
      <c r="G50" s="15">
        <f t="shared" si="6"/>
        <v>-0.22252162197401015</v>
      </c>
      <c r="H50" s="15">
        <f t="shared" si="6"/>
        <v>8.8993236066856607E-3</v>
      </c>
    </row>
    <row r="51" spans="3:8">
      <c r="C51" s="15">
        <f>+C46*1/A46-1</f>
        <v>-5.7776162790697638E-2</v>
      </c>
      <c r="D51" s="15">
        <f t="shared" si="6"/>
        <v>-2.1210952564597041E-2</v>
      </c>
      <c r="E51" s="15">
        <f t="shared" si="6"/>
        <v>7.9458891515629126E-2</v>
      </c>
      <c r="F51" s="15">
        <f t="shared" si="6"/>
        <v>6.5458084925173354E-2</v>
      </c>
      <c r="G51" s="15">
        <f t="shared" si="6"/>
        <v>-0.21891058581706069</v>
      </c>
      <c r="H51" s="15">
        <f t="shared" si="6"/>
        <v>-2.4561403508771895E-2</v>
      </c>
    </row>
    <row r="52" spans="3:8">
      <c r="C52" s="15"/>
      <c r="H52" s="15"/>
    </row>
    <row r="53" spans="3:8">
      <c r="C53" s="690"/>
      <c r="D53" s="690"/>
      <c r="E53" s="690"/>
      <c r="F53" s="690"/>
      <c r="G53" s="690"/>
      <c r="H53" s="690"/>
    </row>
  </sheetData>
  <mergeCells count="14">
    <mergeCell ref="B47:B48"/>
    <mergeCell ref="A41:C41"/>
    <mergeCell ref="A34:D34"/>
    <mergeCell ref="F4:F5"/>
    <mergeCell ref="G4:G5"/>
    <mergeCell ref="A37:C37"/>
    <mergeCell ref="A38:C38"/>
    <mergeCell ref="A39:C39"/>
    <mergeCell ref="A40:C40"/>
    <mergeCell ref="A2:G2"/>
    <mergeCell ref="A18:A19"/>
    <mergeCell ref="A4:A5"/>
    <mergeCell ref="B4:E4"/>
    <mergeCell ref="A36:C36"/>
  </mergeCells>
  <pageMargins left="0.7" right="0.7" top="0.75" bottom="0.75" header="0.3" footer="0.3"/>
  <pageSetup orientation="portrait" horizontalDpi="4294967294" verticalDpi="4294967294" r:id="rId1"/>
  <ignoredErrors>
    <ignoredError sqref="F6:F16 A39:A40 D39:F39 D41:F41 F40" formula="1"/>
    <ignoredError sqref="F17" evalError="1" formula="1"/>
    <ignoredError sqref="C19:H19 E17 G17:H17 C18 E18:H18 C22:E22 E21:H21 D20:H20 G22:H22" evalErro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009900"/>
  </sheetPr>
  <dimension ref="A1:AA172"/>
  <sheetViews>
    <sheetView showGridLines="0" topLeftCell="A27" zoomScale="60" zoomScaleNormal="60" workbookViewId="0">
      <selection activeCell="J47" sqref="J47:J58"/>
    </sheetView>
  </sheetViews>
  <sheetFormatPr baseColWidth="10" defaultRowHeight="15"/>
  <cols>
    <col min="1" max="1" width="20.42578125" customWidth="1"/>
    <col min="2" max="13" width="15.7109375" customWidth="1"/>
    <col min="14" max="15" width="14.7109375" customWidth="1"/>
    <col min="17" max="17" width="14.42578125" customWidth="1"/>
    <col min="18" max="18" width="8.42578125" customWidth="1"/>
  </cols>
  <sheetData>
    <row r="1" spans="1:17" s="157" customFormat="1" ht="16.5" customHeight="1"/>
    <row r="2" spans="1:17">
      <c r="A2" s="1939" t="s">
        <v>789</v>
      </c>
      <c r="B2" s="1939"/>
      <c r="C2" s="1939"/>
      <c r="D2" s="1939"/>
      <c r="E2" s="1939"/>
      <c r="F2" s="1939"/>
      <c r="G2" s="1939"/>
      <c r="H2" s="1939"/>
      <c r="I2" s="1939"/>
      <c r="J2" s="1939"/>
      <c r="K2" s="1939"/>
      <c r="L2" s="1939"/>
      <c r="M2" s="1939"/>
      <c r="N2" s="1939"/>
    </row>
    <row r="4" spans="1:17" s="157" customFormat="1" ht="19.5" thickBot="1">
      <c r="A4" s="215">
        <v>2020</v>
      </c>
      <c r="B4" s="162">
        <v>20513</v>
      </c>
      <c r="C4" s="162">
        <v>2688</v>
      </c>
      <c r="D4" s="162">
        <v>23201</v>
      </c>
      <c r="F4" s="162">
        <v>68932</v>
      </c>
      <c r="G4" s="162">
        <v>4152</v>
      </c>
      <c r="H4" s="162">
        <v>73084</v>
      </c>
      <c r="J4" s="162">
        <f>+H4+D4</f>
        <v>96285</v>
      </c>
      <c r="L4" s="159">
        <f>+D4+H4</f>
        <v>96285</v>
      </c>
    </row>
    <row r="5" spans="1:17" s="157" customFormat="1" ht="27.75" customHeight="1">
      <c r="A5" s="1940" t="s">
        <v>32</v>
      </c>
      <c r="B5" s="1933" t="s">
        <v>8</v>
      </c>
      <c r="C5" s="1934"/>
      <c r="D5" s="1934"/>
      <c r="E5" s="1942"/>
      <c r="F5" s="1933" t="s">
        <v>9</v>
      </c>
      <c r="G5" s="1934"/>
      <c r="H5" s="1934"/>
      <c r="I5" s="1934"/>
      <c r="J5" s="1933" t="s">
        <v>798</v>
      </c>
      <c r="K5" s="1934"/>
      <c r="L5" s="1934"/>
      <c r="M5" s="1934"/>
    </row>
    <row r="6" spans="1:17" s="157" customFormat="1" ht="27.75" customHeight="1">
      <c r="A6" s="1941"/>
      <c r="B6" s="556" t="s">
        <v>812</v>
      </c>
      <c r="C6" s="556" t="s">
        <v>811</v>
      </c>
      <c r="D6" s="556" t="s">
        <v>6</v>
      </c>
      <c r="E6" s="557" t="s">
        <v>251</v>
      </c>
      <c r="F6" s="831" t="s">
        <v>812</v>
      </c>
      <c r="G6" s="831" t="s">
        <v>811</v>
      </c>
      <c r="H6" s="556" t="s">
        <v>6</v>
      </c>
      <c r="I6" s="558" t="s">
        <v>251</v>
      </c>
      <c r="J6" s="831" t="s">
        <v>812</v>
      </c>
      <c r="K6" s="831" t="s">
        <v>811</v>
      </c>
      <c r="L6" s="831" t="s">
        <v>6</v>
      </c>
      <c r="M6" s="558" t="s">
        <v>251</v>
      </c>
    </row>
    <row r="7" spans="1:17" s="157" customFormat="1" ht="24.75" customHeight="1">
      <c r="A7" s="169" t="s">
        <v>247</v>
      </c>
      <c r="B7" s="1434">
        <v>21095</v>
      </c>
      <c r="C7" s="1434">
        <v>2320</v>
      </c>
      <c r="D7" s="1434">
        <f t="shared" ref="D7:D18" si="0">SUM(B7:C7)</f>
        <v>23415</v>
      </c>
      <c r="E7" s="1463">
        <f>+D7*1/D4-1</f>
        <v>9.2237403560191389E-3</v>
      </c>
      <c r="F7" s="1434">
        <v>68782</v>
      </c>
      <c r="G7" s="1434">
        <v>4578</v>
      </c>
      <c r="H7" s="1434">
        <f t="shared" ref="H7:H18" si="1">+G7+F7</f>
        <v>73360</v>
      </c>
      <c r="I7" s="1464">
        <f>+H7*1/H4-1</f>
        <v>3.7764763833396664E-3</v>
      </c>
      <c r="J7" s="1434">
        <f>+B7+F7</f>
        <v>89877</v>
      </c>
      <c r="K7" s="1434">
        <f>+C7+G7</f>
        <v>6898</v>
      </c>
      <c r="L7" s="1465">
        <f>SUM(J7:K7)</f>
        <v>96775</v>
      </c>
      <c r="M7" s="1463">
        <f>+L7*1/J4-1</f>
        <v>5.0890585241729624E-3</v>
      </c>
      <c r="P7" s="161">
        <f>+D7/$L$7</f>
        <v>0.24195298372513563</v>
      </c>
      <c r="Q7" s="161">
        <f>+H7/$L$7</f>
        <v>0.75804701627486437</v>
      </c>
    </row>
    <row r="8" spans="1:17" s="157" customFormat="1" ht="24.75" customHeight="1">
      <c r="A8" s="170" t="s">
        <v>12</v>
      </c>
      <c r="B8" s="1466">
        <v>21292</v>
      </c>
      <c r="C8" s="1466">
        <v>2364</v>
      </c>
      <c r="D8" s="1466">
        <f t="shared" si="0"/>
        <v>23656</v>
      </c>
      <c r="E8" s="1467">
        <f t="shared" ref="E8:E18" si="2">+D8*1/D7-1</f>
        <v>1.0292547512278372E-2</v>
      </c>
      <c r="F8" s="1466">
        <v>68823</v>
      </c>
      <c r="G8" s="1466">
        <v>4556</v>
      </c>
      <c r="H8" s="1466">
        <f t="shared" si="1"/>
        <v>73379</v>
      </c>
      <c r="I8" s="1468">
        <f t="shared" ref="I8:I18" si="3">+H8*1/H7-1</f>
        <v>2.5899672846230182E-4</v>
      </c>
      <c r="J8" s="1466">
        <f t="shared" ref="J8:J18" si="4">+B8+F8</f>
        <v>90115</v>
      </c>
      <c r="K8" s="1466">
        <f t="shared" ref="K8:K18" si="5">+C8+G8</f>
        <v>6920</v>
      </c>
      <c r="L8" s="1466">
        <f t="shared" ref="L8:L18" si="6">SUM(J8:K8)</f>
        <v>97035</v>
      </c>
      <c r="M8" s="1467">
        <f>+L8*1/L7-1</f>
        <v>2.6866442779642785E-3</v>
      </c>
      <c r="P8" s="161">
        <f t="shared" ref="P8:P18" si="7">+D8/$L$7</f>
        <v>0.24444329630586412</v>
      </c>
      <c r="Q8" s="161">
        <f t="shared" ref="Q8:Q18" si="8">+H8/$L$7</f>
        <v>0.75824334797210025</v>
      </c>
    </row>
    <row r="9" spans="1:17" s="157" customFormat="1" ht="24.75" customHeight="1">
      <c r="A9" s="169" t="s">
        <v>13</v>
      </c>
      <c r="B9" s="1434">
        <v>22427</v>
      </c>
      <c r="C9" s="1434">
        <v>2472</v>
      </c>
      <c r="D9" s="1434">
        <f t="shared" si="0"/>
        <v>24899</v>
      </c>
      <c r="E9" s="1463">
        <f t="shared" si="2"/>
        <v>5.2544808927967646E-2</v>
      </c>
      <c r="F9" s="1434">
        <v>67993</v>
      </c>
      <c r="G9" s="1434">
        <v>4517</v>
      </c>
      <c r="H9" s="1434">
        <f t="shared" si="1"/>
        <v>72510</v>
      </c>
      <c r="I9" s="1464">
        <f t="shared" si="3"/>
        <v>-1.1842625274261054E-2</v>
      </c>
      <c r="J9" s="1434">
        <f t="shared" si="4"/>
        <v>90420</v>
      </c>
      <c r="K9" s="1434">
        <f t="shared" si="5"/>
        <v>6989</v>
      </c>
      <c r="L9" s="1434">
        <f t="shared" si="6"/>
        <v>97409</v>
      </c>
      <c r="M9" s="1463">
        <f t="shared" ref="M9:M18" si="9">+L9*1/L8-1</f>
        <v>3.8542793837275102E-3</v>
      </c>
      <c r="P9" s="161">
        <f t="shared" si="7"/>
        <v>0.2572875226039783</v>
      </c>
      <c r="Q9" s="161">
        <f t="shared" si="8"/>
        <v>0.74926375613536556</v>
      </c>
    </row>
    <row r="10" spans="1:17" s="157" customFormat="1" ht="24.75" customHeight="1">
      <c r="A10" s="170" t="s">
        <v>53</v>
      </c>
      <c r="B10" s="1466">
        <v>21202</v>
      </c>
      <c r="C10" s="1466">
        <v>2404</v>
      </c>
      <c r="D10" s="1466">
        <f t="shared" si="0"/>
        <v>23606</v>
      </c>
      <c r="E10" s="1467">
        <f t="shared" si="2"/>
        <v>-5.1929796377364501E-2</v>
      </c>
      <c r="F10" s="1466">
        <v>69058</v>
      </c>
      <c r="G10" s="1466">
        <v>4507</v>
      </c>
      <c r="H10" s="1466">
        <f t="shared" si="1"/>
        <v>73565</v>
      </c>
      <c r="I10" s="1468">
        <f t="shared" si="3"/>
        <v>1.4549717280375019E-2</v>
      </c>
      <c r="J10" s="1466">
        <f t="shared" si="4"/>
        <v>90260</v>
      </c>
      <c r="K10" s="1466">
        <f t="shared" si="5"/>
        <v>6911</v>
      </c>
      <c r="L10" s="1466">
        <f t="shared" si="6"/>
        <v>97171</v>
      </c>
      <c r="M10" s="1467">
        <f t="shared" si="9"/>
        <v>-2.4433060600149714E-3</v>
      </c>
      <c r="P10" s="161">
        <f t="shared" si="7"/>
        <v>0.24392663394471711</v>
      </c>
      <c r="Q10" s="161">
        <f t="shared" si="8"/>
        <v>0.76016533195556701</v>
      </c>
    </row>
    <row r="11" spans="1:17" s="157" customFormat="1" ht="24.75" customHeight="1">
      <c r="A11" s="169" t="s">
        <v>243</v>
      </c>
      <c r="B11" s="1434">
        <v>21476</v>
      </c>
      <c r="C11" s="1434">
        <v>2418</v>
      </c>
      <c r="D11" s="1434">
        <f t="shared" si="0"/>
        <v>23894</v>
      </c>
      <c r="E11" s="1463">
        <f t="shared" si="2"/>
        <v>1.2200288062357068E-2</v>
      </c>
      <c r="F11" s="1434">
        <v>68249</v>
      </c>
      <c r="G11" s="1434">
        <v>4446</v>
      </c>
      <c r="H11" s="1434">
        <f t="shared" si="1"/>
        <v>72695</v>
      </c>
      <c r="I11" s="1464">
        <f t="shared" si="3"/>
        <v>-1.1826276082376075E-2</v>
      </c>
      <c r="J11" s="1434">
        <f t="shared" si="4"/>
        <v>89725</v>
      </c>
      <c r="K11" s="1434">
        <f t="shared" si="5"/>
        <v>6864</v>
      </c>
      <c r="L11" s="1434">
        <f t="shared" si="6"/>
        <v>96589</v>
      </c>
      <c r="M11" s="1463">
        <f t="shared" si="9"/>
        <v>-5.9894412942133046E-3</v>
      </c>
      <c r="P11" s="161">
        <f t="shared" si="7"/>
        <v>0.24690260914492379</v>
      </c>
      <c r="Q11" s="161">
        <f t="shared" si="8"/>
        <v>0.75117540687160944</v>
      </c>
    </row>
    <row r="12" spans="1:17" s="157" customFormat="1" ht="24.75" customHeight="1">
      <c r="A12" s="170" t="s">
        <v>54</v>
      </c>
      <c r="B12" s="1466">
        <v>21707</v>
      </c>
      <c r="C12" s="1466">
        <v>2423</v>
      </c>
      <c r="D12" s="1466">
        <f t="shared" si="0"/>
        <v>24130</v>
      </c>
      <c r="E12" s="1467">
        <f t="shared" si="2"/>
        <v>9.8769565581318108E-3</v>
      </c>
      <c r="F12" s="1466">
        <v>67899</v>
      </c>
      <c r="G12" s="1466">
        <v>4371</v>
      </c>
      <c r="H12" s="1466">
        <f t="shared" si="1"/>
        <v>72270</v>
      </c>
      <c r="I12" s="1468">
        <f t="shared" si="3"/>
        <v>-5.8463443152899641E-3</v>
      </c>
      <c r="J12" s="1466">
        <f t="shared" si="4"/>
        <v>89606</v>
      </c>
      <c r="K12" s="1466">
        <f t="shared" si="5"/>
        <v>6794</v>
      </c>
      <c r="L12" s="1466">
        <f t="shared" si="6"/>
        <v>96400</v>
      </c>
      <c r="M12" s="1467">
        <f t="shared" si="9"/>
        <v>-1.9567445568335895E-3</v>
      </c>
      <c r="P12" s="161">
        <f t="shared" si="7"/>
        <v>0.24934125548953759</v>
      </c>
      <c r="Q12" s="161">
        <f t="shared" si="8"/>
        <v>0.74678377680186003</v>
      </c>
    </row>
    <row r="13" spans="1:17" s="157" customFormat="1" ht="24.75" customHeight="1">
      <c r="A13" s="169" t="s">
        <v>56</v>
      </c>
      <c r="B13" s="1434">
        <v>22036</v>
      </c>
      <c r="C13" s="1434">
        <v>2471</v>
      </c>
      <c r="D13" s="1434">
        <f t="shared" si="0"/>
        <v>24507</v>
      </c>
      <c r="E13" s="1463">
        <f t="shared" si="2"/>
        <v>1.5623704931620352E-2</v>
      </c>
      <c r="F13" s="1434">
        <v>67494</v>
      </c>
      <c r="G13" s="1434">
        <v>4385</v>
      </c>
      <c r="H13" s="1434">
        <f t="shared" si="1"/>
        <v>71879</v>
      </c>
      <c r="I13" s="1464">
        <f t="shared" si="3"/>
        <v>-5.4102670541026354E-3</v>
      </c>
      <c r="J13" s="1434">
        <f t="shared" si="4"/>
        <v>89530</v>
      </c>
      <c r="K13" s="1434">
        <f t="shared" si="5"/>
        <v>6856</v>
      </c>
      <c r="L13" s="1434">
        <f t="shared" si="6"/>
        <v>96386</v>
      </c>
      <c r="M13" s="1463">
        <f t="shared" si="9"/>
        <v>-1.4522821576767875E-4</v>
      </c>
      <c r="P13" s="161">
        <f t="shared" si="7"/>
        <v>0.2532368896925859</v>
      </c>
      <c r="Q13" s="161">
        <f t="shared" si="8"/>
        <v>0.74274347713769051</v>
      </c>
    </row>
    <row r="14" spans="1:17" s="157" customFormat="1" ht="24.75" customHeight="1">
      <c r="A14" s="170" t="s">
        <v>68</v>
      </c>
      <c r="B14" s="1466">
        <v>22066</v>
      </c>
      <c r="C14" s="1466">
        <v>2507</v>
      </c>
      <c r="D14" s="1466">
        <f t="shared" si="0"/>
        <v>24573</v>
      </c>
      <c r="E14" s="1467">
        <f t="shared" si="2"/>
        <v>2.6931080915657546E-3</v>
      </c>
      <c r="F14" s="1466">
        <v>67503</v>
      </c>
      <c r="G14" s="1466">
        <v>4309</v>
      </c>
      <c r="H14" s="1466">
        <f t="shared" si="1"/>
        <v>71812</v>
      </c>
      <c r="I14" s="1468">
        <f t="shared" si="3"/>
        <v>-9.3212203842574226E-4</v>
      </c>
      <c r="J14" s="1466">
        <f t="shared" si="4"/>
        <v>89569</v>
      </c>
      <c r="K14" s="1466">
        <f t="shared" si="5"/>
        <v>6816</v>
      </c>
      <c r="L14" s="1466">
        <f t="shared" si="6"/>
        <v>96385</v>
      </c>
      <c r="M14" s="1467">
        <f t="shared" si="9"/>
        <v>-1.03749507189832E-5</v>
      </c>
      <c r="P14" s="161">
        <f t="shared" si="7"/>
        <v>0.25391888400929991</v>
      </c>
      <c r="Q14" s="161">
        <f t="shared" si="8"/>
        <v>0.74205114957375351</v>
      </c>
    </row>
    <row r="15" spans="1:17" s="157" customFormat="1" ht="24.75" customHeight="1">
      <c r="A15" s="169" t="s">
        <v>69</v>
      </c>
      <c r="B15" s="1434">
        <v>22305</v>
      </c>
      <c r="C15" s="1434">
        <v>2558</v>
      </c>
      <c r="D15" s="1434">
        <f t="shared" si="0"/>
        <v>24863</v>
      </c>
      <c r="E15" s="1463">
        <f t="shared" si="2"/>
        <v>1.1801570829772512E-2</v>
      </c>
      <c r="F15" s="1434">
        <v>67749</v>
      </c>
      <c r="G15" s="1434">
        <v>4207</v>
      </c>
      <c r="H15" s="1434">
        <f t="shared" si="1"/>
        <v>71956</v>
      </c>
      <c r="I15" s="1464">
        <f t="shared" si="3"/>
        <v>2.00523589372259E-3</v>
      </c>
      <c r="J15" s="1434">
        <f t="shared" si="4"/>
        <v>90054</v>
      </c>
      <c r="K15" s="1434">
        <f t="shared" si="5"/>
        <v>6765</v>
      </c>
      <c r="L15" s="1434">
        <f t="shared" si="6"/>
        <v>96819</v>
      </c>
      <c r="M15" s="1463">
        <f t="shared" si="9"/>
        <v>4.5027753281112748E-3</v>
      </c>
      <c r="P15" s="161">
        <f t="shared" si="7"/>
        <v>0.25691552570395249</v>
      </c>
      <c r="Q15" s="161">
        <f t="shared" si="8"/>
        <v>0.74353913717385689</v>
      </c>
    </row>
    <row r="16" spans="1:17" s="157" customFormat="1" ht="24.75" customHeight="1">
      <c r="A16" s="170" t="s">
        <v>248</v>
      </c>
      <c r="B16" s="1466">
        <v>22560</v>
      </c>
      <c r="C16" s="1466">
        <v>2517</v>
      </c>
      <c r="D16" s="1466">
        <f t="shared" si="0"/>
        <v>25077</v>
      </c>
      <c r="E16" s="1467">
        <f t="shared" si="2"/>
        <v>8.6071672766760976E-3</v>
      </c>
      <c r="F16" s="1466">
        <v>67603</v>
      </c>
      <c r="G16" s="1466">
        <v>4218</v>
      </c>
      <c r="H16" s="1466">
        <f t="shared" si="1"/>
        <v>71821</v>
      </c>
      <c r="I16" s="1468">
        <f t="shared" si="3"/>
        <v>-1.8761465339930394E-3</v>
      </c>
      <c r="J16" s="1466">
        <f t="shared" si="4"/>
        <v>90163</v>
      </c>
      <c r="K16" s="1466">
        <f t="shared" si="5"/>
        <v>6735</v>
      </c>
      <c r="L16" s="1466">
        <f t="shared" si="6"/>
        <v>96898</v>
      </c>
      <c r="M16" s="1467">
        <f t="shared" si="9"/>
        <v>8.1595554591551434E-4</v>
      </c>
      <c r="P16" s="161">
        <f t="shared" si="7"/>
        <v>0.25912684060966157</v>
      </c>
      <c r="Q16" s="161">
        <f t="shared" si="8"/>
        <v>0.74214414879876001</v>
      </c>
    </row>
    <row r="17" spans="1:27" s="157" customFormat="1" ht="24.75" customHeight="1">
      <c r="A17" s="169" t="s">
        <v>244</v>
      </c>
      <c r="B17" s="1434">
        <v>23016</v>
      </c>
      <c r="C17" s="1434">
        <v>2582</v>
      </c>
      <c r="D17" s="1434">
        <f t="shared" si="0"/>
        <v>25598</v>
      </c>
      <c r="E17" s="1463">
        <f t="shared" si="2"/>
        <v>2.0776009889540203E-2</v>
      </c>
      <c r="F17" s="1434">
        <v>67459</v>
      </c>
      <c r="G17" s="1434">
        <v>4213</v>
      </c>
      <c r="H17" s="1434">
        <f t="shared" si="1"/>
        <v>71672</v>
      </c>
      <c r="I17" s="1464">
        <f t="shared" si="3"/>
        <v>-2.074602135865522E-3</v>
      </c>
      <c r="J17" s="1434">
        <f t="shared" si="4"/>
        <v>90475</v>
      </c>
      <c r="K17" s="1434">
        <f t="shared" si="5"/>
        <v>6795</v>
      </c>
      <c r="L17" s="1434">
        <f t="shared" si="6"/>
        <v>97270</v>
      </c>
      <c r="M17" s="1463">
        <f t="shared" si="9"/>
        <v>3.8390885260790597E-3</v>
      </c>
      <c r="P17" s="161">
        <f t="shared" si="7"/>
        <v>0.26451046241281323</v>
      </c>
      <c r="Q17" s="161">
        <f t="shared" si="8"/>
        <v>0.74060449496254199</v>
      </c>
    </row>
    <row r="18" spans="1:27" s="157" customFormat="1" ht="24.75" customHeight="1">
      <c r="A18" s="170" t="s">
        <v>249</v>
      </c>
      <c r="B18" s="1466">
        <v>23012</v>
      </c>
      <c r="C18" s="1466">
        <v>2583</v>
      </c>
      <c r="D18" s="1466">
        <f t="shared" si="0"/>
        <v>25595</v>
      </c>
      <c r="E18" s="1467">
        <f t="shared" si="2"/>
        <v>-1.171966559887494E-4</v>
      </c>
      <c r="F18" s="1466">
        <v>67229</v>
      </c>
      <c r="G18" s="1466">
        <v>4089</v>
      </c>
      <c r="H18" s="1466">
        <f t="shared" si="1"/>
        <v>71318</v>
      </c>
      <c r="I18" s="1469">
        <f t="shared" si="3"/>
        <v>-4.9391673177809903E-3</v>
      </c>
      <c r="J18" s="1470">
        <f t="shared" si="4"/>
        <v>90241</v>
      </c>
      <c r="K18" s="1466">
        <f t="shared" si="5"/>
        <v>6672</v>
      </c>
      <c r="L18" s="1466">
        <f t="shared" si="6"/>
        <v>96913</v>
      </c>
      <c r="M18" s="1467">
        <f t="shared" si="9"/>
        <v>-3.6701963606455834E-3</v>
      </c>
      <c r="P18" s="161">
        <f t="shared" si="7"/>
        <v>0.26447946267114442</v>
      </c>
      <c r="Q18" s="161">
        <f t="shared" si="8"/>
        <v>0.73694652544562134</v>
      </c>
    </row>
    <row r="19" spans="1:27" s="157" customFormat="1" ht="27.75" customHeight="1">
      <c r="A19" s="1943" t="s">
        <v>250</v>
      </c>
      <c r="B19" s="1471">
        <f>AVERAGE(B7:B18)</f>
        <v>22016.166666666668</v>
      </c>
      <c r="C19" s="1471">
        <f t="shared" ref="C19:I19" si="10">AVERAGE(C7:C18)</f>
        <v>2468.25</v>
      </c>
      <c r="D19" s="1471">
        <f t="shared" si="10"/>
        <v>24484.416666666668</v>
      </c>
      <c r="E19" s="1472">
        <f t="shared" si="10"/>
        <v>8.4660757835479748E-3</v>
      </c>
      <c r="F19" s="1471">
        <f t="shared" si="10"/>
        <v>67986.75</v>
      </c>
      <c r="G19" s="1471">
        <f t="shared" si="10"/>
        <v>4366.333333333333</v>
      </c>
      <c r="H19" s="1471">
        <f t="shared" si="10"/>
        <v>72353.083333333328</v>
      </c>
      <c r="I19" s="1472">
        <f t="shared" si="10"/>
        <v>-2.013093705516287E-3</v>
      </c>
      <c r="J19" s="1471">
        <f>AVERAGE(J7:J18)</f>
        <v>90002.916666666672</v>
      </c>
      <c r="K19" s="1471">
        <f>AVERAGE(K7:K18)</f>
        <v>6834.583333333333</v>
      </c>
      <c r="L19" s="1471">
        <f>AVERAGE(L7:L18)</f>
        <v>96837.5</v>
      </c>
      <c r="M19" s="1473">
        <f>AVERAGE(M7:M18)</f>
        <v>5.4770917898137406E-4</v>
      </c>
    </row>
    <row r="20" spans="1:27" s="157" customFormat="1" ht="27.75" customHeight="1">
      <c r="A20" s="1944"/>
      <c r="B20" s="1474">
        <f>+B19/D19</f>
        <v>0.89919098201917547</v>
      </c>
      <c r="C20" s="1474">
        <f>+C19/D19</f>
        <v>0.10080901798082453</v>
      </c>
      <c r="D20" s="1474">
        <f>SUM(B20:C20)</f>
        <v>1</v>
      </c>
      <c r="E20" s="1475"/>
      <c r="F20" s="1474">
        <f>+F19/H19</f>
        <v>0.93965242209212463</v>
      </c>
      <c r="G20" s="1474">
        <f>+G19/H19</f>
        <v>6.0347577907875385E-2</v>
      </c>
      <c r="H20" s="1474">
        <f>SUM(F20:G20)</f>
        <v>1</v>
      </c>
      <c r="I20" s="1475"/>
      <c r="J20" s="1474">
        <f>+J19/L19</f>
        <v>0.9294221419043931</v>
      </c>
      <c r="K20" s="1474">
        <f>+K19/L19</f>
        <v>7.0577858095606905E-2</v>
      </c>
      <c r="L20" s="1474">
        <f>SUM(J20:K20)</f>
        <v>1</v>
      </c>
      <c r="M20" s="1476"/>
    </row>
    <row r="21" spans="1:27" s="157" customFormat="1" ht="27.75" customHeight="1" thickBot="1">
      <c r="A21" s="1945"/>
      <c r="B21" s="1935">
        <f>+D19/L19</f>
        <v>0.25284023923239107</v>
      </c>
      <c r="C21" s="1936"/>
      <c r="D21" s="1937"/>
      <c r="E21" s="1477"/>
      <c r="F21" s="1935">
        <f>+H19/L19</f>
        <v>0.74715976076760893</v>
      </c>
      <c r="G21" s="1936"/>
      <c r="H21" s="1937"/>
      <c r="I21" s="1477"/>
      <c r="J21" s="1935">
        <f>+J20+K20</f>
        <v>1</v>
      </c>
      <c r="K21" s="1936"/>
      <c r="L21" s="1937"/>
      <c r="M21" s="1478"/>
    </row>
    <row r="22" spans="1:27" s="157" customFormat="1" ht="16.5" customHeight="1">
      <c r="C22" s="552">
        <f>+B19/C19</f>
        <v>8.9197474594010604</v>
      </c>
      <c r="G22" s="552">
        <f>+F19/G19</f>
        <v>15.570673333842279</v>
      </c>
    </row>
    <row r="23" spans="1:27" s="157" customFormat="1" ht="16.5" customHeight="1">
      <c r="C23" s="552"/>
      <c r="G23" s="552"/>
    </row>
    <row r="24" spans="1:27" s="63" customFormat="1" ht="21">
      <c r="A24" s="1946" t="s">
        <v>790</v>
      </c>
      <c r="B24" s="1938"/>
      <c r="C24" s="1938"/>
      <c r="D24" s="1938"/>
      <c r="E24" s="1938"/>
      <c r="F24" s="1938"/>
      <c r="G24" s="1938"/>
      <c r="H24" s="1938"/>
      <c r="I24" s="1938"/>
      <c r="J24" s="1938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</row>
    <row r="25" spans="1:27" s="75" customFormat="1" ht="18.75" customHeight="1" thickBot="1">
      <c r="A25" s="75">
        <v>2020</v>
      </c>
      <c r="B25" s="75">
        <v>2695</v>
      </c>
      <c r="C25" s="75">
        <v>1613</v>
      </c>
      <c r="D25" s="75">
        <v>4625</v>
      </c>
      <c r="E25" s="75">
        <v>4282</v>
      </c>
      <c r="F25" s="75">
        <v>2818</v>
      </c>
      <c r="G25" s="75">
        <v>2186</v>
      </c>
      <c r="H25" s="75">
        <v>1203</v>
      </c>
      <c r="I25" s="75">
        <v>3779</v>
      </c>
      <c r="J25" s="695">
        <v>23201</v>
      </c>
      <c r="K25" s="171">
        <v>-1.6656777146732193E-2</v>
      </c>
      <c r="N25" s="157"/>
      <c r="O25" s="157"/>
    </row>
    <row r="26" spans="1:27" s="157" customFormat="1" ht="23.25" customHeight="1">
      <c r="A26" s="1919" t="s">
        <v>32</v>
      </c>
      <c r="B26" s="1921" t="s">
        <v>275</v>
      </c>
      <c r="C26" s="1922"/>
      <c r="D26" s="1922"/>
      <c r="E26" s="1922"/>
      <c r="F26" s="1922"/>
      <c r="G26" s="1922"/>
      <c r="H26" s="1922"/>
      <c r="I26" s="1923"/>
      <c r="J26" s="1924" t="s">
        <v>278</v>
      </c>
      <c r="K26" s="1926" t="s">
        <v>33</v>
      </c>
      <c r="L26" s="158"/>
    </row>
    <row r="27" spans="1:27" s="157" customFormat="1" ht="23.25" customHeight="1">
      <c r="A27" s="1947"/>
      <c r="B27" s="661" t="s">
        <v>126</v>
      </c>
      <c r="C27" s="661" t="s">
        <v>276</v>
      </c>
      <c r="D27" s="661" t="s">
        <v>127</v>
      </c>
      <c r="E27" s="662" t="s">
        <v>128</v>
      </c>
      <c r="F27" s="661" t="s">
        <v>129</v>
      </c>
      <c r="G27" s="661" t="s">
        <v>130</v>
      </c>
      <c r="H27" s="661" t="s">
        <v>277</v>
      </c>
      <c r="I27" s="663" t="s">
        <v>279</v>
      </c>
      <c r="J27" s="1948"/>
      <c r="K27" s="1949"/>
      <c r="L27" s="158"/>
    </row>
    <row r="28" spans="1:27" s="157" customFormat="1" ht="17.25" customHeight="1">
      <c r="A28" s="169" t="s">
        <v>247</v>
      </c>
      <c r="B28" s="1479">
        <v>3141</v>
      </c>
      <c r="C28" s="1479">
        <v>1193</v>
      </c>
      <c r="D28" s="1479">
        <v>4287</v>
      </c>
      <c r="E28" s="1479">
        <v>4682</v>
      </c>
      <c r="F28" s="1479">
        <v>2718</v>
      </c>
      <c r="G28" s="1479">
        <v>2268</v>
      </c>
      <c r="H28" s="1479">
        <v>1299</v>
      </c>
      <c r="I28" s="1479">
        <v>3827</v>
      </c>
      <c r="J28" s="1479">
        <f t="shared" ref="J28:J39" si="11">SUM(B28:I28)</f>
        <v>23415</v>
      </c>
      <c r="K28" s="1480">
        <f>+J28*1/J25-1</f>
        <v>9.2237403560191389E-3</v>
      </c>
      <c r="L28" s="158"/>
      <c r="M28" s="162"/>
      <c r="N28" s="162">
        <v>4076.9166666666665</v>
      </c>
      <c r="O28" s="162">
        <v>20221.916666666668</v>
      </c>
    </row>
    <row r="29" spans="1:27" s="157" customFormat="1" ht="17.25" customHeight="1">
      <c r="A29" s="170" t="s">
        <v>12</v>
      </c>
      <c r="B29" s="1481">
        <v>3697</v>
      </c>
      <c r="C29" s="1481">
        <v>1575</v>
      </c>
      <c r="D29" s="1481">
        <v>3537</v>
      </c>
      <c r="E29" s="1481">
        <v>4461</v>
      </c>
      <c r="F29" s="1481">
        <v>3165</v>
      </c>
      <c r="G29" s="1481">
        <v>2007</v>
      </c>
      <c r="H29" s="1481">
        <v>1346</v>
      </c>
      <c r="I29" s="1481">
        <v>3868</v>
      </c>
      <c r="J29" s="1481">
        <f t="shared" si="11"/>
        <v>23656</v>
      </c>
      <c r="K29" s="1482">
        <f t="shared" ref="K29:K39" si="12">+J29*1/J28-1</f>
        <v>1.0292547512278372E-2</v>
      </c>
      <c r="L29" s="158"/>
      <c r="M29" s="162"/>
      <c r="N29" s="162">
        <v>3375.1666666666665</v>
      </c>
      <c r="O29" s="162">
        <v>19383.583333333332</v>
      </c>
    </row>
    <row r="30" spans="1:27" s="157" customFormat="1" ht="17.25" customHeight="1">
      <c r="A30" s="169" t="s">
        <v>13</v>
      </c>
      <c r="B30" s="1479">
        <v>5180</v>
      </c>
      <c r="C30" s="1479">
        <v>2222</v>
      </c>
      <c r="D30" s="1479">
        <v>2555</v>
      </c>
      <c r="E30" s="1479">
        <v>4461</v>
      </c>
      <c r="F30" s="1479">
        <v>3327</v>
      </c>
      <c r="G30" s="1479">
        <v>1780</v>
      </c>
      <c r="H30" s="1479">
        <v>1515</v>
      </c>
      <c r="I30" s="1479">
        <v>3859</v>
      </c>
      <c r="J30" s="1479">
        <f t="shared" si="11"/>
        <v>24899</v>
      </c>
      <c r="K30" s="1480">
        <f t="shared" si="12"/>
        <v>5.2544808927967646E-2</v>
      </c>
      <c r="L30" s="158"/>
      <c r="M30" s="162"/>
      <c r="N30" s="162">
        <v>2973.8333333333335</v>
      </c>
      <c r="O30" s="162">
        <v>10111.083333333334</v>
      </c>
    </row>
    <row r="31" spans="1:27" s="157" customFormat="1" ht="17.25" customHeight="1">
      <c r="A31" s="170" t="s">
        <v>53</v>
      </c>
      <c r="B31" s="1481">
        <v>3987</v>
      </c>
      <c r="C31" s="1481">
        <v>2757</v>
      </c>
      <c r="D31" s="1481">
        <v>2180</v>
      </c>
      <c r="E31" s="1481">
        <v>4049</v>
      </c>
      <c r="F31" s="1481">
        <v>3326</v>
      </c>
      <c r="G31" s="1481">
        <v>1811</v>
      </c>
      <c r="H31" s="1481">
        <v>1594</v>
      </c>
      <c r="I31" s="1481">
        <v>3902</v>
      </c>
      <c r="J31" s="1481">
        <f t="shared" si="11"/>
        <v>23606</v>
      </c>
      <c r="K31" s="1482">
        <f t="shared" si="12"/>
        <v>-5.1929796377364501E-2</v>
      </c>
      <c r="L31" s="158"/>
      <c r="M31" s="162"/>
      <c r="N31" s="162">
        <v>3110.3333333333335</v>
      </c>
      <c r="O31" s="162">
        <v>10873.25</v>
      </c>
    </row>
    <row r="32" spans="1:27" s="157" customFormat="1" ht="17.25" customHeight="1">
      <c r="A32" s="169" t="s">
        <v>243</v>
      </c>
      <c r="B32" s="1479">
        <v>4044</v>
      </c>
      <c r="C32" s="1479">
        <v>3407</v>
      </c>
      <c r="D32" s="1479">
        <v>1834</v>
      </c>
      <c r="E32" s="1479">
        <v>3766</v>
      </c>
      <c r="F32" s="1479">
        <v>3190</v>
      </c>
      <c r="G32" s="1479">
        <v>2024</v>
      </c>
      <c r="H32" s="1479">
        <v>1620</v>
      </c>
      <c r="I32" s="1479">
        <v>4009</v>
      </c>
      <c r="J32" s="1479">
        <f t="shared" si="11"/>
        <v>23894</v>
      </c>
      <c r="K32" s="1480">
        <f t="shared" si="12"/>
        <v>1.2200288062357068E-2</v>
      </c>
      <c r="L32" s="158"/>
      <c r="M32" s="162"/>
      <c r="N32" s="162">
        <v>3007.0833333333335</v>
      </c>
      <c r="O32" s="162">
        <v>3956.25</v>
      </c>
    </row>
    <row r="33" spans="1:15" s="157" customFormat="1" ht="17.25" customHeight="1">
      <c r="A33" s="170" t="s">
        <v>54</v>
      </c>
      <c r="B33" s="1481">
        <v>4325</v>
      </c>
      <c r="C33" s="1481">
        <v>3644</v>
      </c>
      <c r="D33" s="1481">
        <v>1629</v>
      </c>
      <c r="E33" s="1481">
        <v>3381</v>
      </c>
      <c r="F33" s="1481">
        <v>3445</v>
      </c>
      <c r="G33" s="1481">
        <v>1990</v>
      </c>
      <c r="H33" s="1481">
        <v>1630</v>
      </c>
      <c r="I33" s="1481">
        <v>4086</v>
      </c>
      <c r="J33" s="1481">
        <f t="shared" si="11"/>
        <v>24130</v>
      </c>
      <c r="K33" s="1482">
        <f t="shared" si="12"/>
        <v>9.8769565581318108E-3</v>
      </c>
      <c r="L33" s="158"/>
      <c r="M33" s="162"/>
      <c r="N33" s="162">
        <v>2207.8333333333335</v>
      </c>
      <c r="O33" s="162">
        <v>2355.0833333333335</v>
      </c>
    </row>
    <row r="34" spans="1:15" s="157" customFormat="1" ht="17.25" customHeight="1">
      <c r="A34" s="169" t="s">
        <v>56</v>
      </c>
      <c r="B34" s="1479">
        <v>3694</v>
      </c>
      <c r="C34" s="1479">
        <v>3998</v>
      </c>
      <c r="D34" s="1479">
        <v>2219</v>
      </c>
      <c r="E34" s="1479">
        <v>2783</v>
      </c>
      <c r="F34" s="1479">
        <v>3450</v>
      </c>
      <c r="G34" s="1479">
        <v>2284</v>
      </c>
      <c r="H34" s="1479">
        <v>1621</v>
      </c>
      <c r="I34" s="1479">
        <v>4458</v>
      </c>
      <c r="J34" s="1483">
        <f t="shared" si="11"/>
        <v>24507</v>
      </c>
      <c r="K34" s="1480">
        <f t="shared" si="12"/>
        <v>1.5623704931620352E-2</v>
      </c>
      <c r="L34" s="158"/>
      <c r="M34" s="162"/>
      <c r="N34" s="162">
        <v>1535.4166666666667</v>
      </c>
      <c r="O34" s="162">
        <v>1948.6666666666667</v>
      </c>
    </row>
    <row r="35" spans="1:15" s="157" customFormat="1" ht="17.25" customHeight="1">
      <c r="A35" s="170" t="s">
        <v>68</v>
      </c>
      <c r="B35" s="1481">
        <v>3767</v>
      </c>
      <c r="C35" s="1481">
        <v>4263</v>
      </c>
      <c r="D35" s="1481">
        <v>2557</v>
      </c>
      <c r="E35" s="1481">
        <v>2151</v>
      </c>
      <c r="F35" s="1481">
        <v>3283</v>
      </c>
      <c r="G35" s="1481">
        <v>2649</v>
      </c>
      <c r="H35" s="1481">
        <v>1393</v>
      </c>
      <c r="I35" s="1481">
        <v>4510</v>
      </c>
      <c r="J35" s="1481">
        <f t="shared" si="11"/>
        <v>24573</v>
      </c>
      <c r="K35" s="1482">
        <f t="shared" si="12"/>
        <v>2.6931080915657546E-3</v>
      </c>
      <c r="L35" s="158"/>
      <c r="M35" s="162"/>
      <c r="N35" s="162">
        <v>4197.833333333333</v>
      </c>
      <c r="O35" s="162">
        <v>3503.25</v>
      </c>
    </row>
    <row r="36" spans="1:15" s="157" customFormat="1" ht="17.25" customHeight="1">
      <c r="A36" s="169" t="s">
        <v>69</v>
      </c>
      <c r="B36" s="1479">
        <v>3854</v>
      </c>
      <c r="C36" s="1479">
        <v>4467</v>
      </c>
      <c r="D36" s="1479">
        <v>3170</v>
      </c>
      <c r="E36" s="1479">
        <v>2058</v>
      </c>
      <c r="F36" s="1479">
        <v>3031</v>
      </c>
      <c r="G36" s="1479">
        <v>2349</v>
      </c>
      <c r="H36" s="1479">
        <v>1459</v>
      </c>
      <c r="I36" s="1479">
        <v>4475</v>
      </c>
      <c r="J36" s="1483">
        <f t="shared" si="11"/>
        <v>24863</v>
      </c>
      <c r="K36" s="1480">
        <f t="shared" si="12"/>
        <v>1.1801570829772512E-2</v>
      </c>
      <c r="L36" s="158"/>
      <c r="M36" s="162"/>
      <c r="N36" s="162"/>
    </row>
    <row r="37" spans="1:15" s="157" customFormat="1" ht="17.25" customHeight="1">
      <c r="A37" s="170" t="s">
        <v>248</v>
      </c>
      <c r="B37" s="1481">
        <v>4113</v>
      </c>
      <c r="C37" s="1481">
        <v>4316</v>
      </c>
      <c r="D37" s="1481">
        <v>3849</v>
      </c>
      <c r="E37" s="1481">
        <v>1773</v>
      </c>
      <c r="F37" s="1481">
        <v>2585</v>
      </c>
      <c r="G37" s="1481">
        <v>2472</v>
      </c>
      <c r="H37" s="1481">
        <v>1539</v>
      </c>
      <c r="I37" s="1481">
        <v>4430</v>
      </c>
      <c r="J37" s="1481">
        <f t="shared" si="11"/>
        <v>25077</v>
      </c>
      <c r="K37" s="1482">
        <f t="shared" si="12"/>
        <v>8.6071672766760976E-3</v>
      </c>
      <c r="L37" s="158"/>
      <c r="M37" s="162"/>
    </row>
    <row r="38" spans="1:15" s="157" customFormat="1" ht="17.25" customHeight="1">
      <c r="A38" s="169" t="s">
        <v>244</v>
      </c>
      <c r="B38" s="1479">
        <v>4529</v>
      </c>
      <c r="C38" s="1479">
        <v>4320</v>
      </c>
      <c r="D38" s="1479">
        <v>3910</v>
      </c>
      <c r="E38" s="1479">
        <v>1771</v>
      </c>
      <c r="F38" s="1479">
        <v>2540</v>
      </c>
      <c r="G38" s="1479">
        <v>2548</v>
      </c>
      <c r="H38" s="1479">
        <v>1579</v>
      </c>
      <c r="I38" s="1479">
        <v>4401</v>
      </c>
      <c r="J38" s="1483">
        <f t="shared" si="11"/>
        <v>25598</v>
      </c>
      <c r="K38" s="1480">
        <f t="shared" si="12"/>
        <v>2.0776009889540203E-2</v>
      </c>
      <c r="L38" s="158"/>
      <c r="M38" s="162"/>
    </row>
    <row r="39" spans="1:15" s="157" customFormat="1" ht="17.25" customHeight="1">
      <c r="A39" s="170" t="s">
        <v>249</v>
      </c>
      <c r="B39" s="1481">
        <v>4592</v>
      </c>
      <c r="C39" s="1481">
        <v>4340</v>
      </c>
      <c r="D39" s="1481">
        <v>3959</v>
      </c>
      <c r="E39" s="1481">
        <v>1988</v>
      </c>
      <c r="F39" s="1481">
        <v>2025</v>
      </c>
      <c r="G39" s="1481">
        <v>2312</v>
      </c>
      <c r="H39" s="1481">
        <v>1830</v>
      </c>
      <c r="I39" s="1481">
        <v>4549</v>
      </c>
      <c r="J39" s="1481">
        <f t="shared" si="11"/>
        <v>25595</v>
      </c>
      <c r="K39" s="1482">
        <f t="shared" si="12"/>
        <v>-1.171966559887494E-4</v>
      </c>
      <c r="L39" s="158"/>
      <c r="M39" s="162"/>
    </row>
    <row r="40" spans="1:15" s="157" customFormat="1" ht="21.75" customHeight="1">
      <c r="A40" s="1931" t="s">
        <v>250</v>
      </c>
      <c r="B40" s="1484">
        <f t="shared" ref="B40:K40" si="13">AVERAGE(B28:B39)</f>
        <v>4076.9166666666665</v>
      </c>
      <c r="C40" s="1484">
        <f t="shared" si="13"/>
        <v>3375.1666666666665</v>
      </c>
      <c r="D40" s="1484">
        <f t="shared" si="13"/>
        <v>2973.8333333333335</v>
      </c>
      <c r="E40" s="1484">
        <f t="shared" si="13"/>
        <v>3110.3333333333335</v>
      </c>
      <c r="F40" s="1484">
        <f t="shared" si="13"/>
        <v>3007.0833333333335</v>
      </c>
      <c r="G40" s="1484">
        <f t="shared" si="13"/>
        <v>2207.8333333333335</v>
      </c>
      <c r="H40" s="1484">
        <f t="shared" si="13"/>
        <v>1535.4166666666667</v>
      </c>
      <c r="I40" s="1484">
        <f t="shared" si="13"/>
        <v>4197.833333333333</v>
      </c>
      <c r="J40" s="1484">
        <f t="shared" si="13"/>
        <v>24484.416666666668</v>
      </c>
      <c r="K40" s="1485">
        <f t="shared" si="13"/>
        <v>8.4660757835479748E-3</v>
      </c>
      <c r="L40" s="158"/>
      <c r="M40" s="161">
        <f>+B41+C41+D41+E41+F41</f>
        <v>0.67566785676603813</v>
      </c>
    </row>
    <row r="41" spans="1:15" s="157" customFormat="1" ht="21.75" customHeight="1" thickBot="1">
      <c r="A41" s="1932"/>
      <c r="B41" s="1486">
        <f t="shared" ref="B41:I41" si="14">+B40/$J$40</f>
        <v>0.16651067175380257</v>
      </c>
      <c r="C41" s="1486">
        <f t="shared" si="14"/>
        <v>0.13784958459972838</v>
      </c>
      <c r="D41" s="1486">
        <f t="shared" si="14"/>
        <v>0.12145820641019968</v>
      </c>
      <c r="E41" s="1486">
        <f t="shared" si="14"/>
        <v>0.12703318096884753</v>
      </c>
      <c r="F41" s="1486">
        <f t="shared" si="14"/>
        <v>0.12281621303346006</v>
      </c>
      <c r="G41" s="1486">
        <f t="shared" si="14"/>
        <v>9.0173001194637406E-2</v>
      </c>
      <c r="H41" s="1486">
        <f t="shared" si="14"/>
        <v>6.2709954971359338E-2</v>
      </c>
      <c r="I41" s="1486">
        <f t="shared" si="14"/>
        <v>0.17144918706796497</v>
      </c>
      <c r="J41" s="1486">
        <f>SUM(B41:I41)</f>
        <v>0.99999999999999989</v>
      </c>
      <c r="K41" s="1487"/>
      <c r="L41" s="158"/>
    </row>
    <row r="42" spans="1:15" s="75" customFormat="1" ht="19.5" customHeight="1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71">
        <f>+J40/117570</f>
        <v>0.20825394800260838</v>
      </c>
      <c r="L42" s="158"/>
      <c r="M42" s="157"/>
      <c r="N42" s="157"/>
    </row>
    <row r="43" spans="1:15" s="75" customFormat="1" ht="15.75" customHeight="1">
      <c r="A43" s="1938" t="s">
        <v>791</v>
      </c>
      <c r="B43" s="1938"/>
      <c r="C43" s="1938"/>
      <c r="D43" s="1938"/>
      <c r="E43" s="1938"/>
      <c r="F43" s="1938"/>
      <c r="G43" s="1938"/>
      <c r="H43" s="1938"/>
      <c r="I43" s="1938"/>
      <c r="J43" s="1938"/>
    </row>
    <row r="44" spans="1:15" s="63" customFormat="1" ht="21.75" thickBot="1">
      <c r="A44" s="63">
        <v>2020</v>
      </c>
      <c r="B44" s="63">
        <v>20075</v>
      </c>
      <c r="C44" s="63">
        <v>19812</v>
      </c>
      <c r="D44" s="63">
        <v>10315</v>
      </c>
      <c r="E44" s="63">
        <v>10882</v>
      </c>
      <c r="F44" s="63">
        <v>4061</v>
      </c>
      <c r="G44" s="63">
        <v>2433</v>
      </c>
      <c r="H44" s="63">
        <v>1971</v>
      </c>
      <c r="I44" s="63">
        <v>3535</v>
      </c>
      <c r="J44" s="63">
        <v>73084</v>
      </c>
      <c r="K44" s="832">
        <v>-1.007747737985587E-2</v>
      </c>
    </row>
    <row r="45" spans="1:15" s="157" customFormat="1" ht="24" customHeight="1">
      <c r="A45" s="1919" t="s">
        <v>32</v>
      </c>
      <c r="B45" s="1921" t="s">
        <v>280</v>
      </c>
      <c r="C45" s="1922"/>
      <c r="D45" s="1922"/>
      <c r="E45" s="1922"/>
      <c r="F45" s="1922"/>
      <c r="G45" s="1922"/>
      <c r="H45" s="1922"/>
      <c r="I45" s="1923"/>
      <c r="J45" s="1924" t="s">
        <v>281</v>
      </c>
      <c r="K45" s="1926" t="s">
        <v>33</v>
      </c>
      <c r="L45" s="158"/>
    </row>
    <row r="46" spans="1:15" s="157" customFormat="1" ht="24" customHeight="1" thickBot="1">
      <c r="A46" s="1920"/>
      <c r="B46" s="830" t="s">
        <v>126</v>
      </c>
      <c r="C46" s="830" t="s">
        <v>276</v>
      </c>
      <c r="D46" s="830" t="s">
        <v>127</v>
      </c>
      <c r="E46" s="829" t="s">
        <v>128</v>
      </c>
      <c r="F46" s="830" t="s">
        <v>129</v>
      </c>
      <c r="G46" s="830" t="s">
        <v>130</v>
      </c>
      <c r="H46" s="830" t="s">
        <v>277</v>
      </c>
      <c r="I46" s="828" t="s">
        <v>279</v>
      </c>
      <c r="J46" s="1925"/>
      <c r="K46" s="1927"/>
      <c r="L46" s="158"/>
    </row>
    <row r="47" spans="1:15" s="157" customFormat="1" ht="17.25" customHeight="1">
      <c r="A47" s="169" t="s">
        <v>247</v>
      </c>
      <c r="B47" s="1479">
        <v>20625</v>
      </c>
      <c r="C47" s="1479">
        <v>19627</v>
      </c>
      <c r="D47" s="1479">
        <v>10276</v>
      </c>
      <c r="E47" s="1479">
        <v>10870</v>
      </c>
      <c r="F47" s="1479">
        <v>4051</v>
      </c>
      <c r="G47" s="1479">
        <v>2404</v>
      </c>
      <c r="H47" s="1479">
        <v>1964</v>
      </c>
      <c r="I47" s="1479">
        <v>3543</v>
      </c>
      <c r="J47" s="1479">
        <f t="shared" ref="J47:J58" si="15">SUM(B47:I47)</f>
        <v>73360</v>
      </c>
      <c r="K47" s="1480">
        <f>+J47*1/J44-1</f>
        <v>3.7764763833396664E-3</v>
      </c>
      <c r="L47" s="158"/>
    </row>
    <row r="48" spans="1:15" s="157" customFormat="1" ht="17.25" customHeight="1">
      <c r="A48" s="170" t="s">
        <v>12</v>
      </c>
      <c r="B48" s="1481">
        <v>20490</v>
      </c>
      <c r="C48" s="1481">
        <v>19706</v>
      </c>
      <c r="D48" s="1481">
        <v>10292</v>
      </c>
      <c r="E48" s="1481">
        <v>10898</v>
      </c>
      <c r="F48" s="1481">
        <v>4064</v>
      </c>
      <c r="G48" s="1481">
        <v>2413</v>
      </c>
      <c r="H48" s="1481">
        <v>1973</v>
      </c>
      <c r="I48" s="1481">
        <v>3543</v>
      </c>
      <c r="J48" s="1481">
        <f t="shared" si="15"/>
        <v>73379</v>
      </c>
      <c r="K48" s="1482">
        <f t="shared" ref="K48:K58" si="16">+J48*1/J47-1</f>
        <v>2.5899672846230182E-4</v>
      </c>
      <c r="L48" s="158"/>
    </row>
    <row r="49" spans="1:14" s="157" customFormat="1" ht="17.25" customHeight="1">
      <c r="A49" s="169" t="s">
        <v>13</v>
      </c>
      <c r="B49" s="1479">
        <v>19621</v>
      </c>
      <c r="C49" s="1479">
        <v>19706</v>
      </c>
      <c r="D49" s="1479">
        <v>10292</v>
      </c>
      <c r="E49" s="1479">
        <v>10898</v>
      </c>
      <c r="F49" s="1479">
        <v>4064</v>
      </c>
      <c r="G49" s="1479">
        <v>2413</v>
      </c>
      <c r="H49" s="1479">
        <v>1973</v>
      </c>
      <c r="I49" s="1479">
        <v>3543</v>
      </c>
      <c r="J49" s="1479">
        <f t="shared" si="15"/>
        <v>72510</v>
      </c>
      <c r="K49" s="1480">
        <f t="shared" si="16"/>
        <v>-1.1842625274261054E-2</v>
      </c>
      <c r="L49" s="158"/>
    </row>
    <row r="50" spans="1:14" s="157" customFormat="1" ht="17.25" customHeight="1">
      <c r="A50" s="170" t="s">
        <v>53</v>
      </c>
      <c r="B50" s="1481">
        <v>20634</v>
      </c>
      <c r="C50" s="1481">
        <v>19688</v>
      </c>
      <c r="D50" s="1481">
        <v>10282</v>
      </c>
      <c r="E50" s="1481">
        <v>10949</v>
      </c>
      <c r="F50" s="1481">
        <v>4053</v>
      </c>
      <c r="G50" s="1481">
        <v>2411</v>
      </c>
      <c r="H50" s="1481">
        <v>1989</v>
      </c>
      <c r="I50" s="1481">
        <v>3559</v>
      </c>
      <c r="J50" s="1481">
        <f t="shared" si="15"/>
        <v>73565</v>
      </c>
      <c r="K50" s="1482">
        <f t="shared" si="16"/>
        <v>1.4549717280375019E-2</v>
      </c>
      <c r="L50" s="158"/>
    </row>
    <row r="51" spans="1:14" s="157" customFormat="1" ht="17.25" customHeight="1">
      <c r="A51" s="169" t="s">
        <v>243</v>
      </c>
      <c r="B51" s="1479">
        <v>19916</v>
      </c>
      <c r="C51" s="1479">
        <v>19555</v>
      </c>
      <c r="D51" s="1479">
        <v>10262</v>
      </c>
      <c r="E51" s="1479">
        <v>10954</v>
      </c>
      <c r="F51" s="1479">
        <v>4045</v>
      </c>
      <c r="G51" s="1479">
        <v>2412</v>
      </c>
      <c r="H51" s="1479">
        <v>1992</v>
      </c>
      <c r="I51" s="1479">
        <v>3559</v>
      </c>
      <c r="J51" s="1479">
        <f t="shared" si="15"/>
        <v>72695</v>
      </c>
      <c r="K51" s="1480">
        <f t="shared" si="16"/>
        <v>-1.1826276082376075E-2</v>
      </c>
      <c r="L51" s="158"/>
    </row>
    <row r="52" spans="1:14" s="157" customFormat="1" ht="17.25" customHeight="1">
      <c r="A52" s="170" t="s">
        <v>54</v>
      </c>
      <c r="B52" s="1481">
        <v>19603</v>
      </c>
      <c r="C52" s="1481">
        <v>19497</v>
      </c>
      <c r="D52" s="1481">
        <v>10253</v>
      </c>
      <c r="E52" s="1481">
        <v>10927</v>
      </c>
      <c r="F52" s="1481">
        <v>4037</v>
      </c>
      <c r="G52" s="1481">
        <v>2402</v>
      </c>
      <c r="H52" s="1481">
        <v>1992</v>
      </c>
      <c r="I52" s="1481">
        <v>3559</v>
      </c>
      <c r="J52" s="1481">
        <f t="shared" si="15"/>
        <v>72270</v>
      </c>
      <c r="K52" s="1482">
        <f t="shared" si="16"/>
        <v>-5.8463443152899641E-3</v>
      </c>
      <c r="L52" s="158"/>
    </row>
    <row r="53" spans="1:14" s="157" customFormat="1" ht="17.25" customHeight="1">
      <c r="A53" s="169" t="s">
        <v>56</v>
      </c>
      <c r="B53" s="1479">
        <v>20366</v>
      </c>
      <c r="C53" s="1479">
        <v>19358</v>
      </c>
      <c r="D53" s="1479">
        <v>9844</v>
      </c>
      <c r="E53" s="1479">
        <v>10819</v>
      </c>
      <c r="F53" s="1479">
        <v>3873</v>
      </c>
      <c r="G53" s="1479">
        <v>2373</v>
      </c>
      <c r="H53" s="1479">
        <v>1889</v>
      </c>
      <c r="I53" s="1479">
        <v>3357</v>
      </c>
      <c r="J53" s="1483">
        <f t="shared" si="15"/>
        <v>71879</v>
      </c>
      <c r="K53" s="1480">
        <f t="shared" si="16"/>
        <v>-5.4102670541026354E-3</v>
      </c>
      <c r="L53" s="158"/>
    </row>
    <row r="54" spans="1:14" s="157" customFormat="1" ht="17.25" customHeight="1">
      <c r="A54" s="170" t="s">
        <v>68</v>
      </c>
      <c r="B54" s="1481">
        <v>20548</v>
      </c>
      <c r="C54" s="1481">
        <v>19062</v>
      </c>
      <c r="D54" s="1481">
        <v>9963</v>
      </c>
      <c r="E54" s="1481">
        <v>10801</v>
      </c>
      <c r="F54" s="1481">
        <v>3817</v>
      </c>
      <c r="G54" s="1481">
        <v>2308</v>
      </c>
      <c r="H54" s="1481">
        <v>1866</v>
      </c>
      <c r="I54" s="1481">
        <v>3447</v>
      </c>
      <c r="J54" s="1481">
        <f t="shared" si="15"/>
        <v>71812</v>
      </c>
      <c r="K54" s="1482">
        <f t="shared" si="16"/>
        <v>-9.3212203842574226E-4</v>
      </c>
      <c r="L54" s="158"/>
    </row>
    <row r="55" spans="1:14" s="157" customFormat="1" ht="17.25" customHeight="1">
      <c r="A55" s="169" t="s">
        <v>69</v>
      </c>
      <c r="B55" s="1479">
        <v>20400</v>
      </c>
      <c r="C55" s="1479">
        <v>19238</v>
      </c>
      <c r="D55" s="1479">
        <v>10129</v>
      </c>
      <c r="E55" s="1479">
        <v>10710</v>
      </c>
      <c r="F55" s="1479">
        <v>3929</v>
      </c>
      <c r="G55" s="1479">
        <v>2092</v>
      </c>
      <c r="H55" s="1479">
        <v>1982</v>
      </c>
      <c r="I55" s="1479">
        <v>3476</v>
      </c>
      <c r="J55" s="1483">
        <f t="shared" si="15"/>
        <v>71956</v>
      </c>
      <c r="K55" s="1480">
        <f t="shared" si="16"/>
        <v>2.00523589372259E-3</v>
      </c>
      <c r="L55" s="158"/>
    </row>
    <row r="56" spans="1:14" s="157" customFormat="1" ht="17.25" customHeight="1">
      <c r="A56" s="170" t="s">
        <v>248</v>
      </c>
      <c r="B56" s="1481">
        <v>20473</v>
      </c>
      <c r="C56" s="1481">
        <v>19154</v>
      </c>
      <c r="D56" s="1481">
        <v>10095</v>
      </c>
      <c r="E56" s="1481">
        <v>10772</v>
      </c>
      <c r="F56" s="1481">
        <v>3729</v>
      </c>
      <c r="G56" s="1481">
        <v>2269</v>
      </c>
      <c r="H56" s="1481">
        <v>1765</v>
      </c>
      <c r="I56" s="1481">
        <v>3564</v>
      </c>
      <c r="J56" s="1481">
        <f t="shared" si="15"/>
        <v>71821</v>
      </c>
      <c r="K56" s="1482">
        <f t="shared" si="16"/>
        <v>-1.8761465339930394E-3</v>
      </c>
      <c r="L56" s="158"/>
    </row>
    <row r="57" spans="1:14" s="157" customFormat="1" ht="17.25" customHeight="1">
      <c r="A57" s="169" t="s">
        <v>244</v>
      </c>
      <c r="B57" s="1479">
        <v>20481</v>
      </c>
      <c r="C57" s="1479">
        <v>19187</v>
      </c>
      <c r="D57" s="1479">
        <v>9621</v>
      </c>
      <c r="E57" s="1479">
        <v>10885</v>
      </c>
      <c r="F57" s="1479">
        <v>3766</v>
      </c>
      <c r="G57" s="1479">
        <v>2411</v>
      </c>
      <c r="H57" s="1479">
        <v>2012</v>
      </c>
      <c r="I57" s="1479">
        <v>3309</v>
      </c>
      <c r="J57" s="1483">
        <f t="shared" si="15"/>
        <v>71672</v>
      </c>
      <c r="K57" s="1480">
        <f t="shared" si="16"/>
        <v>-2.074602135865522E-3</v>
      </c>
      <c r="L57" s="158"/>
    </row>
    <row r="58" spans="1:14" s="157" customFormat="1" ht="17.25" customHeight="1">
      <c r="A58" s="170" t="s">
        <v>249</v>
      </c>
      <c r="B58" s="1481">
        <v>19506</v>
      </c>
      <c r="C58" s="1481">
        <v>18825</v>
      </c>
      <c r="D58" s="1481">
        <v>10024</v>
      </c>
      <c r="E58" s="1481">
        <v>10996</v>
      </c>
      <c r="F58" s="1481">
        <v>4047</v>
      </c>
      <c r="G58" s="1481">
        <v>2353</v>
      </c>
      <c r="H58" s="1481">
        <v>1987</v>
      </c>
      <c r="I58" s="1481">
        <v>3580</v>
      </c>
      <c r="J58" s="1481">
        <f t="shared" si="15"/>
        <v>71318</v>
      </c>
      <c r="K58" s="1482">
        <f t="shared" si="16"/>
        <v>-4.9391673177809903E-3</v>
      </c>
      <c r="L58" s="158"/>
    </row>
    <row r="59" spans="1:14" s="157" customFormat="1" ht="21.75" customHeight="1">
      <c r="A59" s="1931" t="s">
        <v>250</v>
      </c>
      <c r="B59" s="1484">
        <f t="shared" ref="B59:K59" si="17">AVERAGE(B47:B58)</f>
        <v>20221.916666666668</v>
      </c>
      <c r="C59" s="1484">
        <f t="shared" si="17"/>
        <v>19383.583333333332</v>
      </c>
      <c r="D59" s="1484">
        <f t="shared" si="17"/>
        <v>10111.083333333334</v>
      </c>
      <c r="E59" s="1484">
        <f t="shared" si="17"/>
        <v>10873.25</v>
      </c>
      <c r="F59" s="1484">
        <f t="shared" si="17"/>
        <v>3956.25</v>
      </c>
      <c r="G59" s="1484">
        <f t="shared" si="17"/>
        <v>2355.0833333333335</v>
      </c>
      <c r="H59" s="1484">
        <f t="shared" si="17"/>
        <v>1948.6666666666667</v>
      </c>
      <c r="I59" s="1484">
        <f t="shared" si="17"/>
        <v>3503.25</v>
      </c>
      <c r="J59" s="1484">
        <f t="shared" si="17"/>
        <v>72353.083333333328</v>
      </c>
      <c r="K59" s="1485">
        <f t="shared" si="17"/>
        <v>-2.013093705516287E-3</v>
      </c>
      <c r="L59" s="158"/>
    </row>
    <row r="60" spans="1:14" s="157" customFormat="1" ht="21.75" customHeight="1" thickBot="1">
      <c r="A60" s="1932"/>
      <c r="B60" s="1486">
        <f t="shared" ref="B60:I60" si="18">+B59/$J$59</f>
        <v>0.27948935601684799</v>
      </c>
      <c r="C60" s="1486">
        <f t="shared" si="18"/>
        <v>0.26790265791483203</v>
      </c>
      <c r="D60" s="1486">
        <f t="shared" si="18"/>
        <v>0.139746405647306</v>
      </c>
      <c r="E60" s="1486">
        <f t="shared" si="18"/>
        <v>0.15028039579055028</v>
      </c>
      <c r="F60" s="1486">
        <f t="shared" si="18"/>
        <v>5.4679770615626844E-2</v>
      </c>
      <c r="G60" s="1486">
        <f t="shared" si="18"/>
        <v>3.2549868296329235E-2</v>
      </c>
      <c r="H60" s="1486">
        <f t="shared" si="18"/>
        <v>2.6932738411286322E-2</v>
      </c>
      <c r="I60" s="1486">
        <f t="shared" si="18"/>
        <v>4.8418807307221416E-2</v>
      </c>
      <c r="J60" s="1486">
        <f>SUM(B60:I60)</f>
        <v>1</v>
      </c>
      <c r="K60" s="1487"/>
      <c r="L60" s="158"/>
    </row>
    <row r="61" spans="1:14" s="63" customFormat="1" ht="21">
      <c r="K61" s="171"/>
    </row>
    <row r="62" spans="1:14" s="157" customFormat="1" ht="16.5" customHeight="1"/>
    <row r="63" spans="1:14" ht="18.75">
      <c r="A63" s="1930" t="s">
        <v>684</v>
      </c>
      <c r="B63" s="1930"/>
      <c r="C63" s="1930"/>
      <c r="D63" s="1930"/>
      <c r="E63" s="1930"/>
      <c r="F63" s="1930"/>
      <c r="G63" s="1930"/>
      <c r="H63" s="1930"/>
      <c r="I63" s="1930"/>
      <c r="J63" s="1930"/>
      <c r="K63" s="1930"/>
      <c r="L63" s="1930"/>
      <c r="M63" s="1930"/>
      <c r="N63" s="690"/>
    </row>
    <row r="64" spans="1:14" ht="15.75" thickBot="1">
      <c r="M64" s="690"/>
      <c r="N64" s="157"/>
    </row>
    <row r="65" spans="1:15" s="157" customFormat="1" ht="27.75" customHeight="1">
      <c r="A65" s="1928" t="s">
        <v>305</v>
      </c>
      <c r="B65" s="1895">
        <v>2016</v>
      </c>
      <c r="C65" s="1897"/>
      <c r="D65" s="1895">
        <v>2017</v>
      </c>
      <c r="E65" s="1897"/>
      <c r="F65" s="1895">
        <v>2018</v>
      </c>
      <c r="G65" s="1897"/>
      <c r="H65" s="1895">
        <v>2019</v>
      </c>
      <c r="I65" s="1897"/>
      <c r="J65" s="1918">
        <v>2020</v>
      </c>
      <c r="K65" s="1918"/>
      <c r="L65" s="1895">
        <v>2021</v>
      </c>
      <c r="M65" s="1897"/>
      <c r="N65" s="1918" t="s">
        <v>618</v>
      </c>
      <c r="O65" s="1918"/>
    </row>
    <row r="66" spans="1:15" s="157" customFormat="1" ht="27.75" customHeight="1">
      <c r="A66" s="1929"/>
      <c r="B66" s="831" t="s">
        <v>233</v>
      </c>
      <c r="C66" s="831" t="s">
        <v>22</v>
      </c>
      <c r="D66" s="831" t="s">
        <v>233</v>
      </c>
      <c r="E66" s="831" t="s">
        <v>22</v>
      </c>
      <c r="F66" s="831" t="s">
        <v>233</v>
      </c>
      <c r="G66" s="831" t="s">
        <v>22</v>
      </c>
      <c r="H66" s="831" t="s">
        <v>233</v>
      </c>
      <c r="I66" s="831" t="s">
        <v>22</v>
      </c>
      <c r="J66" s="831" t="s">
        <v>233</v>
      </c>
      <c r="K66" s="831" t="s">
        <v>22</v>
      </c>
      <c r="L66" s="831" t="s">
        <v>233</v>
      </c>
      <c r="M66" s="559" t="s">
        <v>22</v>
      </c>
      <c r="N66" s="831" t="s">
        <v>233</v>
      </c>
      <c r="O66" s="559" t="s">
        <v>22</v>
      </c>
    </row>
    <row r="67" spans="1:15" s="157" customFormat="1" ht="25.5" customHeight="1">
      <c r="A67" s="169" t="s">
        <v>8</v>
      </c>
      <c r="B67" s="165">
        <v>37839</v>
      </c>
      <c r="C67" s="216">
        <f>+B67/B69</f>
        <v>0.31923025005905581</v>
      </c>
      <c r="D67" s="165">
        <v>36777</v>
      </c>
      <c r="E67" s="216">
        <f>+D67/D69</f>
        <v>0.32049673202614382</v>
      </c>
      <c r="F67" s="165">
        <v>40049</v>
      </c>
      <c r="G67" s="216">
        <f>+F67/F69</f>
        <v>0.33792917232708647</v>
      </c>
      <c r="H67" s="165">
        <f>+D4</f>
        <v>23201</v>
      </c>
      <c r="I67" s="216">
        <f>+H67/H69</f>
        <v>0.24096172820273148</v>
      </c>
      <c r="J67" s="165">
        <v>23201</v>
      </c>
      <c r="K67" s="216">
        <f>+J67/J69</f>
        <v>0.24096172820273148</v>
      </c>
      <c r="L67" s="165">
        <f>+J39</f>
        <v>25595</v>
      </c>
      <c r="M67" s="166">
        <f>+L67/L69</f>
        <v>0.26410285513811355</v>
      </c>
      <c r="N67" s="165">
        <f>AVERAGE(D67,F67,H67,J67,L67)</f>
        <v>29764.6</v>
      </c>
      <c r="O67" s="166">
        <f>+N67/N69</f>
        <v>0.28469467006921145</v>
      </c>
    </row>
    <row r="68" spans="1:15" s="157" customFormat="1" ht="25.5" customHeight="1">
      <c r="A68" s="170" t="s">
        <v>303</v>
      </c>
      <c r="B68" s="209">
        <v>80693</v>
      </c>
      <c r="C68" s="217">
        <f>+B68/B69</f>
        <v>0.68076974994094419</v>
      </c>
      <c r="D68" s="209">
        <v>77973</v>
      </c>
      <c r="E68" s="217">
        <f>+D68/D69</f>
        <v>0.67950326797385618</v>
      </c>
      <c r="F68" s="209">
        <v>78464</v>
      </c>
      <c r="G68" s="217">
        <f>+F68/F69</f>
        <v>0.66207082767291348</v>
      </c>
      <c r="H68" s="209">
        <f>+H4</f>
        <v>73084</v>
      </c>
      <c r="I68" s="217">
        <f>+H68/H69</f>
        <v>0.75903827179726857</v>
      </c>
      <c r="J68" s="209">
        <v>73084</v>
      </c>
      <c r="K68" s="217">
        <f>+J68/J69</f>
        <v>0.75903827179726857</v>
      </c>
      <c r="L68" s="209">
        <f>+J58</f>
        <v>71318</v>
      </c>
      <c r="M68" s="210">
        <f>+L68/L69</f>
        <v>0.7358971448618864</v>
      </c>
      <c r="N68" s="209">
        <f>AVERAGE(D68,F68,H68,J68,L68)</f>
        <v>74784.600000000006</v>
      </c>
      <c r="O68" s="210">
        <f>+N68/N69</f>
        <v>0.71530532993078866</v>
      </c>
    </row>
    <row r="69" spans="1:15" s="157" customFormat="1" ht="27.75" customHeight="1" thickBot="1">
      <c r="A69" s="231" t="s">
        <v>6</v>
      </c>
      <c r="B69" s="232">
        <f t="shared" ref="B69:M69" si="19">SUM(B67:B68)</f>
        <v>118532</v>
      </c>
      <c r="C69" s="233">
        <f t="shared" si="19"/>
        <v>1</v>
      </c>
      <c r="D69" s="232">
        <f t="shared" si="19"/>
        <v>114750</v>
      </c>
      <c r="E69" s="233">
        <f t="shared" si="19"/>
        <v>1</v>
      </c>
      <c r="F69" s="232">
        <f t="shared" si="19"/>
        <v>118513</v>
      </c>
      <c r="G69" s="233">
        <f t="shared" si="19"/>
        <v>1</v>
      </c>
      <c r="H69" s="232">
        <f t="shared" si="19"/>
        <v>96285</v>
      </c>
      <c r="I69" s="233">
        <f t="shared" si="19"/>
        <v>1</v>
      </c>
      <c r="J69" s="232">
        <f t="shared" si="19"/>
        <v>96285</v>
      </c>
      <c r="K69" s="233">
        <f t="shared" si="19"/>
        <v>1</v>
      </c>
      <c r="L69" s="232">
        <f t="shared" si="19"/>
        <v>96913</v>
      </c>
      <c r="M69" s="233">
        <f t="shared" si="19"/>
        <v>1</v>
      </c>
      <c r="N69" s="232">
        <f>AVERAGE(D69,F69,H69,J69,L69)</f>
        <v>104549.2</v>
      </c>
      <c r="O69" s="234">
        <f>SUM(O67:O68)</f>
        <v>1</v>
      </c>
    </row>
    <row r="70" spans="1:15">
      <c r="M70" s="690"/>
    </row>
    <row r="71" spans="1:15">
      <c r="J71" s="15"/>
      <c r="L71" s="15">
        <f>+L67*1/J67-1</f>
        <v>0.10318520753415794</v>
      </c>
      <c r="M71" s="1008">
        <f>+L67-J67</f>
        <v>2394</v>
      </c>
    </row>
    <row r="72" spans="1:15">
      <c r="J72" s="15"/>
      <c r="L72" s="15">
        <f>+L68*1/J68-1</f>
        <v>-2.4163975699195483E-2</v>
      </c>
      <c r="M72" s="1008">
        <f>+L68-J68</f>
        <v>-1766</v>
      </c>
      <c r="N72" s="690"/>
    </row>
    <row r="73" spans="1:15">
      <c r="F73" s="6"/>
    </row>
    <row r="74" spans="1:15">
      <c r="B74" s="691"/>
      <c r="F74" s="6"/>
    </row>
    <row r="75" spans="1:15">
      <c r="B75" s="691"/>
      <c r="F75" s="6"/>
      <c r="H75" s="15"/>
    </row>
    <row r="76" spans="1:15">
      <c r="H76" s="6"/>
    </row>
    <row r="172" spans="7:27">
      <c r="G172" s="120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</row>
  </sheetData>
  <mergeCells count="30">
    <mergeCell ref="J5:M5"/>
    <mergeCell ref="J21:L21"/>
    <mergeCell ref="A40:A41"/>
    <mergeCell ref="A43:J43"/>
    <mergeCell ref="A2:N2"/>
    <mergeCell ref="A5:A6"/>
    <mergeCell ref="B5:E5"/>
    <mergeCell ref="F5:I5"/>
    <mergeCell ref="A19:A21"/>
    <mergeCell ref="B21:D21"/>
    <mergeCell ref="F21:H21"/>
    <mergeCell ref="A24:J24"/>
    <mergeCell ref="A26:A27"/>
    <mergeCell ref="J26:J27"/>
    <mergeCell ref="K26:K27"/>
    <mergeCell ref="B26:I26"/>
    <mergeCell ref="N65:O65"/>
    <mergeCell ref="L65:M65"/>
    <mergeCell ref="A45:A46"/>
    <mergeCell ref="B45:I45"/>
    <mergeCell ref="J45:J46"/>
    <mergeCell ref="K45:K46"/>
    <mergeCell ref="J65:K65"/>
    <mergeCell ref="F65:G65"/>
    <mergeCell ref="H65:I65"/>
    <mergeCell ref="A65:A66"/>
    <mergeCell ref="A63:M63"/>
    <mergeCell ref="B65:C65"/>
    <mergeCell ref="D65:E65"/>
    <mergeCell ref="A59:A60"/>
  </mergeCells>
  <pageMargins left="0.7" right="0.7" top="0.75" bottom="0.75" header="0.3" footer="0.3"/>
  <pageSetup orientation="portrait" r:id="rId1"/>
  <ignoredErrors>
    <ignoredError sqref="D7:E18 H7:I1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009900"/>
  </sheetPr>
  <dimension ref="A1:AB146"/>
  <sheetViews>
    <sheetView showGridLines="0" topLeftCell="A43" zoomScale="60" zoomScaleNormal="60" workbookViewId="0">
      <selection activeCell="A44" sqref="A44:M59"/>
    </sheetView>
  </sheetViews>
  <sheetFormatPr baseColWidth="10" defaultRowHeight="14.25"/>
  <cols>
    <col min="1" max="1" width="17.5703125" style="69" customWidth="1"/>
    <col min="2" max="13" width="14" style="69" customWidth="1"/>
    <col min="14" max="15" width="16.42578125" style="69" customWidth="1"/>
    <col min="16" max="18" width="13.5703125" style="69" customWidth="1"/>
    <col min="19" max="19" width="8.42578125" style="69" customWidth="1"/>
    <col min="20" max="32" width="11.42578125" style="69"/>
    <col min="33" max="33" width="11.5703125" style="69" customWidth="1"/>
    <col min="34" max="34" width="11.42578125" style="69"/>
    <col min="35" max="37" width="13.42578125" style="69" customWidth="1"/>
    <col min="38" max="16384" width="11.42578125" style="69"/>
  </cols>
  <sheetData>
    <row r="1" spans="1:16" ht="15.75">
      <c r="A1" s="1950" t="s">
        <v>793</v>
      </c>
      <c r="B1" s="1950"/>
      <c r="C1" s="1950"/>
      <c r="D1" s="1950"/>
      <c r="E1" s="1950"/>
      <c r="F1" s="1950"/>
      <c r="G1" s="1950"/>
      <c r="H1" s="1950"/>
      <c r="I1" s="1950"/>
      <c r="J1" s="1950"/>
      <c r="K1" s="1950"/>
      <c r="L1" s="1950"/>
      <c r="M1" s="1950"/>
      <c r="N1" s="1950"/>
    </row>
    <row r="2" spans="1:16" ht="15" thickBot="1"/>
    <row r="3" spans="1:16" s="157" customFormat="1" ht="32.25" customHeight="1">
      <c r="A3" s="1951" t="s">
        <v>32</v>
      </c>
      <c r="B3" s="1953" t="s">
        <v>682</v>
      </c>
      <c r="C3" s="1954"/>
      <c r="D3" s="1954"/>
      <c r="E3" s="1954"/>
      <c r="F3" s="1954"/>
      <c r="G3" s="1954"/>
      <c r="H3" s="1954"/>
      <c r="I3" s="1954"/>
      <c r="J3" s="1954"/>
      <c r="K3" s="1954"/>
      <c r="L3" s="1955"/>
      <c r="M3" s="1956" t="s">
        <v>41</v>
      </c>
    </row>
    <row r="4" spans="1:16" s="157" customFormat="1" ht="32.25" customHeight="1">
      <c r="A4" s="1952"/>
      <c r="B4" s="561" t="s">
        <v>263</v>
      </c>
      <c r="C4" s="561" t="s">
        <v>264</v>
      </c>
      <c r="D4" s="561" t="s">
        <v>265</v>
      </c>
      <c r="E4" s="561" t="s">
        <v>266</v>
      </c>
      <c r="F4" s="561" t="s">
        <v>267</v>
      </c>
      <c r="G4" s="561" t="s">
        <v>268</v>
      </c>
      <c r="H4" s="561" t="s">
        <v>269</v>
      </c>
      <c r="I4" s="561" t="s">
        <v>270</v>
      </c>
      <c r="J4" s="561" t="s">
        <v>271</v>
      </c>
      <c r="K4" s="561" t="s">
        <v>272</v>
      </c>
      <c r="L4" s="561" t="s">
        <v>273</v>
      </c>
      <c r="M4" s="1957"/>
    </row>
    <row r="5" spans="1:16" s="157" customFormat="1" ht="18.75" customHeight="1">
      <c r="A5" s="565" t="s">
        <v>247</v>
      </c>
      <c r="B5" s="236">
        <v>731</v>
      </c>
      <c r="C5" s="236">
        <v>1356</v>
      </c>
      <c r="D5" s="236">
        <v>1210</v>
      </c>
      <c r="E5" s="236">
        <v>1155</v>
      </c>
      <c r="F5" s="236">
        <v>863</v>
      </c>
      <c r="G5" s="236">
        <v>625</v>
      </c>
      <c r="H5" s="236">
        <v>400</v>
      </c>
      <c r="I5" s="236">
        <v>290</v>
      </c>
      <c r="J5" s="236">
        <v>170</v>
      </c>
      <c r="K5" s="236">
        <v>66</v>
      </c>
      <c r="L5" s="236">
        <v>32</v>
      </c>
      <c r="M5" s="566">
        <f t="shared" ref="M5:M16" si="0">SUM(B5:L5)</f>
        <v>6898</v>
      </c>
      <c r="O5" s="161">
        <f>+B$16/$M$16</f>
        <v>0.13639088729016788</v>
      </c>
      <c r="P5" s="1252">
        <f>+B18</f>
        <v>0.11992928122904346</v>
      </c>
    </row>
    <row r="6" spans="1:16" s="157" customFormat="1" ht="18.75" customHeight="1">
      <c r="A6" s="560" t="s">
        <v>12</v>
      </c>
      <c r="B6" s="168">
        <v>748</v>
      </c>
      <c r="C6" s="168">
        <v>1376</v>
      </c>
      <c r="D6" s="168">
        <v>1213</v>
      </c>
      <c r="E6" s="168">
        <v>1152</v>
      </c>
      <c r="F6" s="168">
        <v>857</v>
      </c>
      <c r="G6" s="168">
        <v>624</v>
      </c>
      <c r="H6" s="168">
        <v>401</v>
      </c>
      <c r="I6" s="168">
        <v>287</v>
      </c>
      <c r="J6" s="168">
        <v>167</v>
      </c>
      <c r="K6" s="168">
        <v>65</v>
      </c>
      <c r="L6" s="168">
        <v>30</v>
      </c>
      <c r="M6" s="567">
        <f t="shared" si="0"/>
        <v>6920</v>
      </c>
      <c r="O6" s="161">
        <f>+C$16/$M$16</f>
        <v>0.20233812949640287</v>
      </c>
      <c r="P6" s="1252">
        <f>+C18</f>
        <v>0.20091446686581724</v>
      </c>
    </row>
    <row r="7" spans="1:16" s="157" customFormat="1" ht="18.75" customHeight="1">
      <c r="A7" s="565" t="s">
        <v>13</v>
      </c>
      <c r="B7" s="236">
        <v>783</v>
      </c>
      <c r="C7" s="236">
        <v>1410</v>
      </c>
      <c r="D7" s="236">
        <v>1215</v>
      </c>
      <c r="E7" s="236">
        <v>1148</v>
      </c>
      <c r="F7" s="236">
        <v>856</v>
      </c>
      <c r="G7" s="236">
        <v>625</v>
      </c>
      <c r="H7" s="236">
        <v>403</v>
      </c>
      <c r="I7" s="236">
        <v>290</v>
      </c>
      <c r="J7" s="236">
        <v>168</v>
      </c>
      <c r="K7" s="236">
        <v>63</v>
      </c>
      <c r="L7" s="236">
        <v>28</v>
      </c>
      <c r="M7" s="566">
        <f t="shared" si="0"/>
        <v>6989</v>
      </c>
      <c r="O7" s="161">
        <f>+D$16/$M$16</f>
        <v>0.1704136690647482</v>
      </c>
      <c r="P7" s="1252">
        <f>+D18</f>
        <v>0.17495580076815218</v>
      </c>
    </row>
    <row r="8" spans="1:16" s="157" customFormat="1" ht="18.75" customHeight="1">
      <c r="A8" s="560" t="s">
        <v>53</v>
      </c>
      <c r="B8" s="168">
        <v>785</v>
      </c>
      <c r="C8" s="168">
        <v>1400</v>
      </c>
      <c r="D8" s="168">
        <v>1209</v>
      </c>
      <c r="E8" s="168">
        <v>1130</v>
      </c>
      <c r="F8" s="168">
        <v>845</v>
      </c>
      <c r="G8" s="168">
        <v>619</v>
      </c>
      <c r="H8" s="168">
        <v>388</v>
      </c>
      <c r="I8" s="168">
        <v>286</v>
      </c>
      <c r="J8" s="168">
        <v>161</v>
      </c>
      <c r="K8" s="168">
        <v>63</v>
      </c>
      <c r="L8" s="168">
        <v>25</v>
      </c>
      <c r="M8" s="567">
        <f t="shared" si="0"/>
        <v>6911</v>
      </c>
      <c r="O8" s="161">
        <f>+E$16/$M$16</f>
        <v>0.15842326139088728</v>
      </c>
      <c r="P8" s="1252">
        <f>+E18</f>
        <v>0.16327501066878011</v>
      </c>
    </row>
    <row r="9" spans="1:16" s="157" customFormat="1" ht="18.75" customHeight="1">
      <c r="A9" s="565" t="s">
        <v>243</v>
      </c>
      <c r="B9" s="236">
        <v>793</v>
      </c>
      <c r="C9" s="236">
        <v>1398</v>
      </c>
      <c r="D9" s="236">
        <v>1199</v>
      </c>
      <c r="E9" s="236">
        <v>1117</v>
      </c>
      <c r="F9" s="236">
        <v>836</v>
      </c>
      <c r="G9" s="236">
        <v>606</v>
      </c>
      <c r="H9" s="236">
        <v>385</v>
      </c>
      <c r="I9" s="236">
        <v>285</v>
      </c>
      <c r="J9" s="236">
        <v>156</v>
      </c>
      <c r="K9" s="236">
        <v>65</v>
      </c>
      <c r="L9" s="236">
        <v>24</v>
      </c>
      <c r="M9" s="566">
        <f t="shared" si="0"/>
        <v>6864</v>
      </c>
      <c r="O9" s="161">
        <f>+F$16/$M$16</f>
        <v>0.1203537170263789</v>
      </c>
      <c r="P9" s="1252">
        <f>+F18</f>
        <v>0.12164847893677985</v>
      </c>
    </row>
    <row r="10" spans="1:16" s="157" customFormat="1" ht="18.75" customHeight="1">
      <c r="A10" s="560" t="s">
        <v>54</v>
      </c>
      <c r="B10" s="168">
        <v>781</v>
      </c>
      <c r="C10" s="168">
        <v>1392</v>
      </c>
      <c r="D10" s="168">
        <v>1199</v>
      </c>
      <c r="E10" s="168">
        <v>1103</v>
      </c>
      <c r="F10" s="168">
        <v>829</v>
      </c>
      <c r="G10" s="168">
        <v>595</v>
      </c>
      <c r="H10" s="168">
        <v>379</v>
      </c>
      <c r="I10" s="168">
        <v>275</v>
      </c>
      <c r="J10" s="168">
        <v>153</v>
      </c>
      <c r="K10" s="168">
        <v>67</v>
      </c>
      <c r="L10" s="168">
        <v>21</v>
      </c>
      <c r="M10" s="567">
        <f t="shared" si="0"/>
        <v>6794</v>
      </c>
      <c r="O10" s="161">
        <f>+G$16/$M$16</f>
        <v>8.6181055155875305E-2</v>
      </c>
      <c r="P10" s="1252">
        <f>+G18</f>
        <v>8.6959702493446325E-2</v>
      </c>
    </row>
    <row r="11" spans="1:16" s="157" customFormat="1" ht="18.75" customHeight="1">
      <c r="A11" s="565" t="s">
        <v>56</v>
      </c>
      <c r="B11" s="236">
        <v>798</v>
      </c>
      <c r="C11" s="236">
        <v>1405</v>
      </c>
      <c r="D11" s="236">
        <v>1217</v>
      </c>
      <c r="E11" s="236">
        <v>1113</v>
      </c>
      <c r="F11" s="236">
        <v>832</v>
      </c>
      <c r="G11" s="236">
        <v>597</v>
      </c>
      <c r="H11" s="236">
        <v>374</v>
      </c>
      <c r="I11" s="236">
        <v>277</v>
      </c>
      <c r="J11" s="236">
        <v>153</v>
      </c>
      <c r="K11" s="236">
        <v>66</v>
      </c>
      <c r="L11" s="236">
        <v>24</v>
      </c>
      <c r="M11" s="566">
        <f t="shared" si="0"/>
        <v>6856</v>
      </c>
      <c r="O11" s="161">
        <f>+H$16/$M$16</f>
        <v>5.1258992805755396E-2</v>
      </c>
      <c r="P11" s="1252">
        <f>+H18</f>
        <v>5.5465463634700972E-2</v>
      </c>
    </row>
    <row r="12" spans="1:16" s="157" customFormat="1" ht="18.75" customHeight="1">
      <c r="A12" s="560" t="s">
        <v>68</v>
      </c>
      <c r="B12" s="168">
        <v>800</v>
      </c>
      <c r="C12" s="168">
        <v>1315</v>
      </c>
      <c r="D12" s="168">
        <v>1208</v>
      </c>
      <c r="E12" s="168">
        <v>1130</v>
      </c>
      <c r="F12" s="168">
        <v>834</v>
      </c>
      <c r="G12" s="168">
        <v>558</v>
      </c>
      <c r="H12" s="168">
        <v>417</v>
      </c>
      <c r="I12" s="168">
        <v>293</v>
      </c>
      <c r="J12" s="168">
        <v>145</v>
      </c>
      <c r="K12" s="168">
        <v>76</v>
      </c>
      <c r="L12" s="168">
        <v>40</v>
      </c>
      <c r="M12" s="567">
        <f t="shared" si="0"/>
        <v>6816</v>
      </c>
      <c r="O12" s="161">
        <f>+I$16/$M$16</f>
        <v>4.0617505995203834E-2</v>
      </c>
      <c r="P12" s="1252">
        <f>+I18</f>
        <v>4.0955922697067611E-2</v>
      </c>
    </row>
    <row r="13" spans="1:16" s="157" customFormat="1" ht="18.75" customHeight="1">
      <c r="A13" s="565" t="s">
        <v>69</v>
      </c>
      <c r="B13" s="236">
        <v>843</v>
      </c>
      <c r="C13" s="236">
        <v>1373</v>
      </c>
      <c r="D13" s="236">
        <v>1188</v>
      </c>
      <c r="E13" s="236">
        <v>1106</v>
      </c>
      <c r="F13" s="236">
        <v>811</v>
      </c>
      <c r="G13" s="236">
        <v>581</v>
      </c>
      <c r="H13" s="236">
        <v>359</v>
      </c>
      <c r="I13" s="236">
        <v>270</v>
      </c>
      <c r="J13" s="236">
        <v>146</v>
      </c>
      <c r="K13" s="236">
        <v>63</v>
      </c>
      <c r="L13" s="236">
        <v>25</v>
      </c>
      <c r="M13" s="566">
        <f t="shared" si="0"/>
        <v>6765</v>
      </c>
      <c r="O13" s="161">
        <f>+J$16/$M$16</f>
        <v>2.1882494004796162E-2</v>
      </c>
      <c r="P13" s="1252">
        <f>+J18</f>
        <v>2.2642199597634579E-2</v>
      </c>
    </row>
    <row r="14" spans="1:16" s="157" customFormat="1" ht="18.75" customHeight="1">
      <c r="A14" s="560" t="s">
        <v>248</v>
      </c>
      <c r="B14" s="168">
        <v>949</v>
      </c>
      <c r="C14" s="168">
        <v>1335</v>
      </c>
      <c r="D14" s="168">
        <v>1167</v>
      </c>
      <c r="E14" s="168">
        <v>1083</v>
      </c>
      <c r="F14" s="168">
        <v>797</v>
      </c>
      <c r="G14" s="168">
        <v>563</v>
      </c>
      <c r="H14" s="168">
        <v>350</v>
      </c>
      <c r="I14" s="168">
        <v>265</v>
      </c>
      <c r="J14" s="168">
        <v>144</v>
      </c>
      <c r="K14" s="168">
        <v>60</v>
      </c>
      <c r="L14" s="168">
        <v>22</v>
      </c>
      <c r="M14" s="567">
        <f t="shared" si="0"/>
        <v>6735</v>
      </c>
      <c r="O14" s="161">
        <f>+K$16/$M$16</f>
        <v>8.8429256594724226E-3</v>
      </c>
      <c r="P14" s="1252">
        <f>+K18</f>
        <v>9.4007193806011097E-3</v>
      </c>
    </row>
    <row r="15" spans="1:16" s="157" customFormat="1" ht="18.75" customHeight="1">
      <c r="A15" s="565" t="s">
        <v>244</v>
      </c>
      <c r="B15" s="236">
        <v>915</v>
      </c>
      <c r="C15" s="236">
        <v>1368</v>
      </c>
      <c r="D15" s="236">
        <v>1187</v>
      </c>
      <c r="E15" s="236">
        <v>1097</v>
      </c>
      <c r="F15" s="236">
        <v>814</v>
      </c>
      <c r="G15" s="236">
        <v>564</v>
      </c>
      <c r="H15" s="236">
        <v>351</v>
      </c>
      <c r="I15" s="236">
        <v>270</v>
      </c>
      <c r="J15" s="236">
        <v>148</v>
      </c>
      <c r="K15" s="236">
        <v>58</v>
      </c>
      <c r="L15" s="236">
        <v>23</v>
      </c>
      <c r="M15" s="566">
        <f t="shared" si="0"/>
        <v>6795</v>
      </c>
      <c r="O15" s="161">
        <f>+L$16/$M$16</f>
        <v>3.2973621103117505E-3</v>
      </c>
      <c r="P15" s="1252">
        <f>+L18</f>
        <v>3.8529537279765897E-3</v>
      </c>
    </row>
    <row r="16" spans="1:16" s="157" customFormat="1" ht="18.75" customHeight="1">
      <c r="A16" s="560" t="s">
        <v>249</v>
      </c>
      <c r="B16" s="168">
        <v>910</v>
      </c>
      <c r="C16" s="168">
        <v>1350</v>
      </c>
      <c r="D16" s="168">
        <v>1137</v>
      </c>
      <c r="E16" s="168">
        <v>1057</v>
      </c>
      <c r="F16" s="168">
        <v>803</v>
      </c>
      <c r="G16" s="168">
        <v>575</v>
      </c>
      <c r="H16" s="168">
        <v>342</v>
      </c>
      <c r="I16" s="168">
        <v>271</v>
      </c>
      <c r="J16" s="168">
        <v>146</v>
      </c>
      <c r="K16" s="168">
        <v>59</v>
      </c>
      <c r="L16" s="168">
        <v>22</v>
      </c>
      <c r="M16" s="567">
        <f t="shared" si="0"/>
        <v>6672</v>
      </c>
      <c r="O16" s="161"/>
    </row>
    <row r="17" spans="1:19" s="157" customFormat="1" ht="27" customHeight="1">
      <c r="A17" s="1958" t="s">
        <v>391</v>
      </c>
      <c r="B17" s="562">
        <f>AVERAGE(B5:B16)</f>
        <v>819.66666666666663</v>
      </c>
      <c r="C17" s="562">
        <f t="shared" ref="C17:L17" si="1">AVERAGE(C5:C16)</f>
        <v>1373.1666666666667</v>
      </c>
      <c r="D17" s="562">
        <f t="shared" si="1"/>
        <v>1195.75</v>
      </c>
      <c r="E17" s="562">
        <f t="shared" si="1"/>
        <v>1115.9166666666667</v>
      </c>
      <c r="F17" s="562">
        <f t="shared" si="1"/>
        <v>831.41666666666663</v>
      </c>
      <c r="G17" s="562">
        <f t="shared" si="1"/>
        <v>594.33333333333337</v>
      </c>
      <c r="H17" s="562">
        <f t="shared" si="1"/>
        <v>379.08333333333331</v>
      </c>
      <c r="I17" s="562">
        <f t="shared" si="1"/>
        <v>279.91666666666669</v>
      </c>
      <c r="J17" s="562">
        <f t="shared" si="1"/>
        <v>154.75</v>
      </c>
      <c r="K17" s="562">
        <f t="shared" si="1"/>
        <v>64.25</v>
      </c>
      <c r="L17" s="562">
        <f t="shared" si="1"/>
        <v>26.333333333333332</v>
      </c>
      <c r="M17" s="569">
        <f>AVERAGE(M5:M16)</f>
        <v>6834.583333333333</v>
      </c>
      <c r="O17" s="161"/>
    </row>
    <row r="18" spans="1:19" s="157" customFormat="1" ht="27" customHeight="1" thickBot="1">
      <c r="A18" s="1884"/>
      <c r="B18" s="564">
        <f>+B17/$M$17</f>
        <v>0.11992928122904346</v>
      </c>
      <c r="C18" s="564">
        <f t="shared" ref="C18:L18" si="2">+C17/$M$17</f>
        <v>0.20091446686581724</v>
      </c>
      <c r="D18" s="564">
        <f t="shared" si="2"/>
        <v>0.17495580076815218</v>
      </c>
      <c r="E18" s="564">
        <f t="shared" si="2"/>
        <v>0.16327501066878011</v>
      </c>
      <c r="F18" s="564">
        <f t="shared" si="2"/>
        <v>0.12164847893677985</v>
      </c>
      <c r="G18" s="564">
        <f t="shared" si="2"/>
        <v>8.6959702493446325E-2</v>
      </c>
      <c r="H18" s="564">
        <f t="shared" si="2"/>
        <v>5.5465463634700972E-2</v>
      </c>
      <c r="I18" s="564">
        <f t="shared" si="2"/>
        <v>4.0955922697067611E-2</v>
      </c>
      <c r="J18" s="564">
        <f t="shared" si="2"/>
        <v>2.2642199597634579E-2</v>
      </c>
      <c r="K18" s="564">
        <f t="shared" si="2"/>
        <v>9.4007193806011097E-3</v>
      </c>
      <c r="L18" s="564">
        <f t="shared" si="2"/>
        <v>3.8529537279765897E-3</v>
      </c>
      <c r="M18" s="563">
        <f>SUM(B18:L18)</f>
        <v>1.0000000000000002</v>
      </c>
    </row>
    <row r="19" spans="1:19">
      <c r="A19" s="71"/>
      <c r="C19" s="73"/>
      <c r="D19" s="72"/>
    </row>
    <row r="20" spans="1:19">
      <c r="A20" s="71"/>
      <c r="B20" s="70"/>
      <c r="C20" s="73"/>
      <c r="D20" s="72"/>
    </row>
    <row r="21" spans="1:19" ht="15.75">
      <c r="A21" s="1950" t="s">
        <v>794</v>
      </c>
      <c r="B21" s="1950"/>
      <c r="C21" s="1950"/>
      <c r="D21" s="1950"/>
      <c r="E21" s="1950"/>
      <c r="F21" s="1950"/>
      <c r="G21" s="1950"/>
      <c r="H21" s="1950"/>
      <c r="I21" s="1950"/>
      <c r="J21" s="1950"/>
      <c r="K21" s="1950"/>
      <c r="L21" s="1950"/>
      <c r="M21" s="1950"/>
      <c r="N21" s="1950"/>
    </row>
    <row r="22" spans="1:19" ht="15.75">
      <c r="A22" s="1149"/>
      <c r="B22" s="1149"/>
      <c r="C22" s="1149"/>
      <c r="D22" s="1149"/>
      <c r="E22" s="1149"/>
      <c r="F22" s="1149"/>
      <c r="G22" s="1149"/>
      <c r="H22" s="1149"/>
      <c r="I22" s="1149"/>
      <c r="J22" s="1149"/>
      <c r="K22" s="1149"/>
      <c r="L22" s="1149"/>
      <c r="M22" s="1149"/>
      <c r="N22" s="1149"/>
    </row>
    <row r="23" spans="1:19" ht="15" thickBot="1"/>
    <row r="24" spans="1:19" s="157" customFormat="1" ht="32.25" customHeight="1">
      <c r="A24" s="1951" t="s">
        <v>32</v>
      </c>
      <c r="B24" s="1953" t="s">
        <v>683</v>
      </c>
      <c r="C24" s="1954"/>
      <c r="D24" s="1954"/>
      <c r="E24" s="1954"/>
      <c r="F24" s="1954"/>
      <c r="G24" s="1954"/>
      <c r="H24" s="1954"/>
      <c r="I24" s="1954"/>
      <c r="J24" s="1954"/>
      <c r="K24" s="1954"/>
      <c r="L24" s="1955"/>
      <c r="M24" s="1956" t="s">
        <v>41</v>
      </c>
      <c r="S24" s="69"/>
    </row>
    <row r="25" spans="1:19" s="157" customFormat="1" ht="32.25" customHeight="1">
      <c r="A25" s="1952"/>
      <c r="B25" s="561" t="s">
        <v>263</v>
      </c>
      <c r="C25" s="561" t="s">
        <v>264</v>
      </c>
      <c r="D25" s="561" t="s">
        <v>265</v>
      </c>
      <c r="E25" s="561" t="s">
        <v>266</v>
      </c>
      <c r="F25" s="561" t="s">
        <v>267</v>
      </c>
      <c r="G25" s="561" t="s">
        <v>268</v>
      </c>
      <c r="H25" s="561" t="s">
        <v>269</v>
      </c>
      <c r="I25" s="561" t="s">
        <v>270</v>
      </c>
      <c r="J25" s="561" t="s">
        <v>271</v>
      </c>
      <c r="K25" s="561" t="s">
        <v>272</v>
      </c>
      <c r="L25" s="561" t="s">
        <v>273</v>
      </c>
      <c r="M25" s="1957"/>
      <c r="S25" s="69"/>
    </row>
    <row r="26" spans="1:19" s="157" customFormat="1" ht="18.75" customHeight="1">
      <c r="A26" s="565" t="s">
        <v>247</v>
      </c>
      <c r="B26" s="236">
        <v>8795</v>
      </c>
      <c r="C26" s="236">
        <v>19020</v>
      </c>
      <c r="D26" s="236">
        <v>16908</v>
      </c>
      <c r="E26" s="236">
        <v>13962</v>
      </c>
      <c r="F26" s="236">
        <v>10485</v>
      </c>
      <c r="G26" s="236">
        <v>7102</v>
      </c>
      <c r="H26" s="236">
        <v>5137</v>
      </c>
      <c r="I26" s="236">
        <v>3644</v>
      </c>
      <c r="J26" s="236">
        <v>2279</v>
      </c>
      <c r="K26" s="236">
        <v>1379</v>
      </c>
      <c r="L26" s="236">
        <v>1166</v>
      </c>
      <c r="M26" s="566">
        <f t="shared" ref="M26:M37" si="3">SUM(B26:L26)</f>
        <v>89877</v>
      </c>
      <c r="O26" s="161">
        <f>+B$37/$M$37</f>
        <v>0.12796844006604538</v>
      </c>
      <c r="P26" s="1252">
        <f>+B39</f>
        <v>0.11348798881517728</v>
      </c>
      <c r="S26" s="69"/>
    </row>
    <row r="27" spans="1:19" s="157" customFormat="1" ht="18.75" customHeight="1">
      <c r="A27" s="560" t="s">
        <v>12</v>
      </c>
      <c r="B27" s="168">
        <v>9020</v>
      </c>
      <c r="C27" s="168">
        <v>19157</v>
      </c>
      <c r="D27" s="168">
        <v>16900</v>
      </c>
      <c r="E27" s="168">
        <v>13978</v>
      </c>
      <c r="F27" s="168">
        <v>10442</v>
      </c>
      <c r="G27" s="168">
        <v>7054</v>
      </c>
      <c r="H27" s="168">
        <v>5140</v>
      </c>
      <c r="I27" s="168">
        <v>3629</v>
      </c>
      <c r="J27" s="168">
        <v>2273</v>
      </c>
      <c r="K27" s="168">
        <v>1366</v>
      </c>
      <c r="L27" s="168">
        <v>1156</v>
      </c>
      <c r="M27" s="567">
        <f t="shared" si="3"/>
        <v>90115</v>
      </c>
      <c r="O27" s="161">
        <f>+C$37/$M$37</f>
        <v>0.21308496138119037</v>
      </c>
      <c r="P27" s="1252">
        <f>+C39</f>
        <v>0.21236626590804925</v>
      </c>
      <c r="S27" s="69"/>
    </row>
    <row r="28" spans="1:19" s="157" customFormat="1" ht="18.75" customHeight="1">
      <c r="A28" s="565" t="s">
        <v>13</v>
      </c>
      <c r="B28" s="236">
        <v>9308</v>
      </c>
      <c r="C28" s="236">
        <v>19293</v>
      </c>
      <c r="D28" s="236">
        <v>16826</v>
      </c>
      <c r="E28" s="236">
        <v>13956</v>
      </c>
      <c r="F28" s="236">
        <v>10414</v>
      </c>
      <c r="G28" s="236">
        <v>7050</v>
      </c>
      <c r="H28" s="236">
        <v>5131</v>
      </c>
      <c r="I28" s="236">
        <v>3633</v>
      </c>
      <c r="J28" s="236">
        <v>2271</v>
      </c>
      <c r="K28" s="236">
        <v>1384</v>
      </c>
      <c r="L28" s="236">
        <v>1154</v>
      </c>
      <c r="M28" s="566">
        <f t="shared" si="3"/>
        <v>90420</v>
      </c>
      <c r="O28" s="161">
        <f>+D$37/$M$37</f>
        <v>0.18235613523786307</v>
      </c>
      <c r="P28" s="1252">
        <f>+D39</f>
        <v>0.18476067905206775</v>
      </c>
      <c r="S28" s="69"/>
    </row>
    <row r="29" spans="1:19" s="157" customFormat="1" ht="18.75" customHeight="1">
      <c r="A29" s="560" t="s">
        <v>53</v>
      </c>
      <c r="B29" s="168">
        <v>9491</v>
      </c>
      <c r="C29" s="168">
        <v>19230</v>
      </c>
      <c r="D29" s="168">
        <v>16782</v>
      </c>
      <c r="E29" s="168">
        <v>13923</v>
      </c>
      <c r="F29" s="168">
        <v>10347</v>
      </c>
      <c r="G29" s="168">
        <v>7006</v>
      </c>
      <c r="H29" s="168">
        <v>5089</v>
      </c>
      <c r="I29" s="168">
        <v>3614</v>
      </c>
      <c r="J29" s="168">
        <v>2251</v>
      </c>
      <c r="K29" s="168">
        <v>1381</v>
      </c>
      <c r="L29" s="168">
        <v>1146</v>
      </c>
      <c r="M29" s="567">
        <f t="shared" si="3"/>
        <v>90260</v>
      </c>
      <c r="O29" s="161">
        <f>+E$37/$M$37</f>
        <v>0.14942210303520573</v>
      </c>
      <c r="P29" s="1252">
        <f>+E39</f>
        <v>0.15230432347099862</v>
      </c>
      <c r="S29" s="69"/>
    </row>
    <row r="30" spans="1:19" s="157" customFormat="1" ht="18.75" customHeight="1">
      <c r="A30" s="565" t="s">
        <v>243</v>
      </c>
      <c r="B30" s="236">
        <v>9642</v>
      </c>
      <c r="C30" s="236">
        <v>19078</v>
      </c>
      <c r="D30" s="236">
        <v>16644</v>
      </c>
      <c r="E30" s="236">
        <v>13791</v>
      </c>
      <c r="F30" s="236">
        <v>10264</v>
      </c>
      <c r="G30" s="236">
        <v>6960</v>
      </c>
      <c r="H30" s="236">
        <v>5061</v>
      </c>
      <c r="I30" s="236">
        <v>3560</v>
      </c>
      <c r="J30" s="236">
        <v>2229</v>
      </c>
      <c r="K30" s="236">
        <v>1369</v>
      </c>
      <c r="L30" s="236">
        <v>1127</v>
      </c>
      <c r="M30" s="566">
        <f t="shared" si="3"/>
        <v>89725</v>
      </c>
      <c r="O30" s="161">
        <f>+F$37/$M$37</f>
        <v>0.11043760596624594</v>
      </c>
      <c r="P30" s="1252">
        <f>+F39</f>
        <v>0.11336577055373205</v>
      </c>
      <c r="S30" s="69"/>
    </row>
    <row r="31" spans="1:19" s="157" customFormat="1" ht="18.75" customHeight="1">
      <c r="A31" s="560" t="s">
        <v>54</v>
      </c>
      <c r="B31" s="168">
        <v>9895</v>
      </c>
      <c r="C31" s="168">
        <v>19009</v>
      </c>
      <c r="D31" s="168">
        <v>16616</v>
      </c>
      <c r="E31" s="168">
        <v>13722</v>
      </c>
      <c r="F31" s="168">
        <v>10192</v>
      </c>
      <c r="G31" s="168">
        <v>6918</v>
      </c>
      <c r="H31" s="168">
        <v>5010</v>
      </c>
      <c r="I31" s="168">
        <v>3543</v>
      </c>
      <c r="J31" s="168">
        <v>2220</v>
      </c>
      <c r="K31" s="168">
        <v>1363</v>
      </c>
      <c r="L31" s="168">
        <v>1118</v>
      </c>
      <c r="M31" s="567">
        <f t="shared" si="3"/>
        <v>89606</v>
      </c>
      <c r="O31" s="161">
        <f>+G$37/$M$37</f>
        <v>7.4555911392825872E-2</v>
      </c>
      <c r="P31" s="1252">
        <f>+G39</f>
        <v>7.6730846685524073E-2</v>
      </c>
      <c r="S31" s="69"/>
    </row>
    <row r="32" spans="1:19" s="157" customFormat="1" ht="18.75" customHeight="1">
      <c r="A32" s="565" t="s">
        <v>56</v>
      </c>
      <c r="B32" s="236">
        <v>10228</v>
      </c>
      <c r="C32" s="236">
        <v>18984</v>
      </c>
      <c r="D32" s="236">
        <v>16539</v>
      </c>
      <c r="E32" s="236">
        <v>13616</v>
      </c>
      <c r="F32" s="236">
        <v>10113</v>
      </c>
      <c r="G32" s="236">
        <v>6885</v>
      </c>
      <c r="H32" s="236">
        <v>4982</v>
      </c>
      <c r="I32" s="236">
        <v>3533</v>
      </c>
      <c r="J32" s="236">
        <v>2187</v>
      </c>
      <c r="K32" s="236">
        <v>1350</v>
      </c>
      <c r="L32" s="236">
        <v>1113</v>
      </c>
      <c r="M32" s="566">
        <f t="shared" si="3"/>
        <v>89530</v>
      </c>
      <c r="O32" s="161">
        <f>+H37/M37</f>
        <v>5.4564998171562816E-2</v>
      </c>
      <c r="P32" s="1252">
        <f>+H39</f>
        <v>5.577782201502729E-2</v>
      </c>
      <c r="S32" s="69"/>
    </row>
    <row r="33" spans="1:19" s="157" customFormat="1" ht="18.75" customHeight="1">
      <c r="A33" s="560" t="s">
        <v>68</v>
      </c>
      <c r="B33" s="168">
        <v>10349</v>
      </c>
      <c r="C33" s="168">
        <v>19027</v>
      </c>
      <c r="D33" s="168">
        <v>16479</v>
      </c>
      <c r="E33" s="168">
        <v>13586</v>
      </c>
      <c r="F33" s="168">
        <v>10110</v>
      </c>
      <c r="G33" s="168">
        <v>6864</v>
      </c>
      <c r="H33" s="168">
        <v>4973</v>
      </c>
      <c r="I33" s="168">
        <v>3548</v>
      </c>
      <c r="J33" s="168">
        <v>2180</v>
      </c>
      <c r="K33" s="168">
        <v>1351</v>
      </c>
      <c r="L33" s="168">
        <v>1102</v>
      </c>
      <c r="M33" s="567">
        <f t="shared" si="3"/>
        <v>89569</v>
      </c>
      <c r="O33" s="161">
        <f>+I$37/$M$37</f>
        <v>3.8264203632495206E-2</v>
      </c>
      <c r="P33" s="1252">
        <f>+I39</f>
        <v>3.9457980528408799E-2</v>
      </c>
      <c r="S33" s="69"/>
    </row>
    <row r="34" spans="1:19" s="157" customFormat="1" ht="18.75" customHeight="1">
      <c r="A34" s="565" t="s">
        <v>69</v>
      </c>
      <c r="B34" s="236">
        <v>10994</v>
      </c>
      <c r="C34" s="236">
        <v>19129</v>
      </c>
      <c r="D34" s="236">
        <v>16496</v>
      </c>
      <c r="E34" s="236">
        <v>13517</v>
      </c>
      <c r="F34" s="236">
        <v>10099</v>
      </c>
      <c r="G34" s="236">
        <v>6809</v>
      </c>
      <c r="H34" s="236">
        <v>4961</v>
      </c>
      <c r="I34" s="236">
        <v>3502</v>
      </c>
      <c r="J34" s="236">
        <v>2142</v>
      </c>
      <c r="K34" s="236">
        <v>1326</v>
      </c>
      <c r="L34" s="236">
        <v>1079</v>
      </c>
      <c r="M34" s="566">
        <f t="shared" si="3"/>
        <v>90054</v>
      </c>
      <c r="O34" s="161">
        <f>J$37/$M$37</f>
        <v>2.3293181591516051E-2</v>
      </c>
      <c r="P34" s="1252">
        <f>+J39</f>
        <v>2.4420504891045195E-2</v>
      </c>
      <c r="S34" s="69"/>
    </row>
    <row r="35" spans="1:19" s="157" customFormat="1" ht="18.75" customHeight="1">
      <c r="A35" s="560" t="s">
        <v>248</v>
      </c>
      <c r="B35" s="168">
        <v>11790</v>
      </c>
      <c r="C35" s="168">
        <v>19005</v>
      </c>
      <c r="D35" s="168">
        <v>16392</v>
      </c>
      <c r="E35" s="168">
        <v>13415</v>
      </c>
      <c r="F35" s="168">
        <v>9970</v>
      </c>
      <c r="G35" s="168">
        <v>6735</v>
      </c>
      <c r="H35" s="168">
        <v>4904</v>
      </c>
      <c r="I35" s="168">
        <v>3470</v>
      </c>
      <c r="J35" s="168">
        <v>2119</v>
      </c>
      <c r="K35" s="168">
        <v>1309</v>
      </c>
      <c r="L35" s="168">
        <v>1054</v>
      </c>
      <c r="M35" s="567">
        <f t="shared" si="3"/>
        <v>90163</v>
      </c>
      <c r="O35" s="161">
        <f>+K$37/$M$37</f>
        <v>1.4350461541871211E-2</v>
      </c>
      <c r="P35" s="1252">
        <f>+K39</f>
        <v>1.4982847778081265E-2</v>
      </c>
      <c r="S35" s="69"/>
    </row>
    <row r="36" spans="1:19" s="157" customFormat="1" ht="18.75" customHeight="1">
      <c r="A36" s="565" t="s">
        <v>244</v>
      </c>
      <c r="B36" s="236">
        <v>11511</v>
      </c>
      <c r="C36" s="236">
        <v>19202</v>
      </c>
      <c r="D36" s="236">
        <v>16510</v>
      </c>
      <c r="E36" s="236">
        <v>13544</v>
      </c>
      <c r="F36" s="236">
        <v>10037</v>
      </c>
      <c r="G36" s="236">
        <v>6761</v>
      </c>
      <c r="H36" s="236">
        <v>4930</v>
      </c>
      <c r="I36" s="236">
        <v>3487</v>
      </c>
      <c r="J36" s="236">
        <v>2122</v>
      </c>
      <c r="K36" s="236">
        <v>1309</v>
      </c>
      <c r="L36" s="236">
        <v>1062</v>
      </c>
      <c r="M36" s="566">
        <f t="shared" si="3"/>
        <v>90475</v>
      </c>
      <c r="O36" s="161">
        <f>+L$37/$M$37</f>
        <v>1.1701997983178378E-2</v>
      </c>
      <c r="P36" s="1252">
        <f>+L39</f>
        <v>1.2344970301888364E-2</v>
      </c>
      <c r="S36" s="69"/>
    </row>
    <row r="37" spans="1:19" s="157" customFormat="1" ht="18.75" customHeight="1">
      <c r="A37" s="560" t="s">
        <v>249</v>
      </c>
      <c r="B37" s="168">
        <v>11548</v>
      </c>
      <c r="C37" s="168">
        <v>19229</v>
      </c>
      <c r="D37" s="168">
        <v>16456</v>
      </c>
      <c r="E37" s="168">
        <v>13484</v>
      </c>
      <c r="F37" s="168">
        <v>9966</v>
      </c>
      <c r="G37" s="168">
        <v>6728</v>
      </c>
      <c r="H37" s="168">
        <v>4924</v>
      </c>
      <c r="I37" s="168">
        <v>3453</v>
      </c>
      <c r="J37" s="168">
        <v>2102</v>
      </c>
      <c r="K37" s="168">
        <v>1295</v>
      </c>
      <c r="L37" s="168">
        <v>1056</v>
      </c>
      <c r="M37" s="567">
        <f t="shared" si="3"/>
        <v>90241</v>
      </c>
      <c r="S37" s="69"/>
    </row>
    <row r="38" spans="1:19" s="157" customFormat="1" ht="27" customHeight="1">
      <c r="A38" s="1958" t="s">
        <v>391</v>
      </c>
      <c r="B38" s="562">
        <f>AVERAGE(B26:B37)</f>
        <v>10214.25</v>
      </c>
      <c r="C38" s="562">
        <f t="shared" ref="C38:L38" si="4">AVERAGE(C26:C37)</f>
        <v>19113.583333333332</v>
      </c>
      <c r="D38" s="562">
        <f t="shared" si="4"/>
        <v>16629</v>
      </c>
      <c r="E38" s="562">
        <f t="shared" si="4"/>
        <v>13707.833333333334</v>
      </c>
      <c r="F38" s="562">
        <f t="shared" si="4"/>
        <v>10203.25</v>
      </c>
      <c r="G38" s="562">
        <f t="shared" si="4"/>
        <v>6906</v>
      </c>
      <c r="H38" s="562">
        <f t="shared" si="4"/>
        <v>5020.166666666667</v>
      </c>
      <c r="I38" s="562">
        <f t="shared" si="4"/>
        <v>3551.3333333333335</v>
      </c>
      <c r="J38" s="562">
        <f t="shared" si="4"/>
        <v>2197.9166666666665</v>
      </c>
      <c r="K38" s="562">
        <f t="shared" si="4"/>
        <v>1348.5</v>
      </c>
      <c r="L38" s="562">
        <f t="shared" si="4"/>
        <v>1111.0833333333333</v>
      </c>
      <c r="M38" s="569">
        <f>AVERAGE(M26:M37)</f>
        <v>90002.916666666672</v>
      </c>
      <c r="S38" s="69"/>
    </row>
    <row r="39" spans="1:19" s="157" customFormat="1" ht="27" customHeight="1" thickBot="1">
      <c r="A39" s="1884"/>
      <c r="B39" s="564">
        <f>+B38/$M$38</f>
        <v>0.11348798881517728</v>
      </c>
      <c r="C39" s="564">
        <f t="shared" ref="C39:L39" si="5">+C38/$M$38</f>
        <v>0.21236626590804925</v>
      </c>
      <c r="D39" s="564">
        <f t="shared" si="5"/>
        <v>0.18476067905206775</v>
      </c>
      <c r="E39" s="564">
        <f t="shared" si="5"/>
        <v>0.15230432347099862</v>
      </c>
      <c r="F39" s="564">
        <f t="shared" si="5"/>
        <v>0.11336577055373205</v>
      </c>
      <c r="G39" s="564">
        <f t="shared" si="5"/>
        <v>7.6730846685524073E-2</v>
      </c>
      <c r="H39" s="564">
        <f t="shared" si="5"/>
        <v>5.577782201502729E-2</v>
      </c>
      <c r="I39" s="564">
        <f t="shared" si="5"/>
        <v>3.9457980528408799E-2</v>
      </c>
      <c r="J39" s="564">
        <f t="shared" si="5"/>
        <v>2.4420504891045195E-2</v>
      </c>
      <c r="K39" s="564">
        <f t="shared" si="5"/>
        <v>1.4982847778081265E-2</v>
      </c>
      <c r="L39" s="564">
        <f t="shared" si="5"/>
        <v>1.2344970301888364E-2</v>
      </c>
      <c r="M39" s="563">
        <f>SUM(B39:L39)</f>
        <v>1</v>
      </c>
    </row>
    <row r="40" spans="1:19">
      <c r="A40" s="71"/>
      <c r="C40" s="73"/>
      <c r="D40" s="72"/>
    </row>
    <row r="41" spans="1:19">
      <c r="A41" s="71"/>
      <c r="B41" s="70"/>
      <c r="C41" s="73"/>
      <c r="D41" s="72"/>
    </row>
    <row r="42" spans="1:19" ht="15.75">
      <c r="A42" s="1950" t="s">
        <v>614</v>
      </c>
      <c r="B42" s="1950"/>
      <c r="C42" s="1950"/>
      <c r="D42" s="1950"/>
      <c r="E42" s="1950"/>
      <c r="F42" s="1950"/>
      <c r="G42" s="1950"/>
      <c r="H42" s="1950"/>
      <c r="I42" s="1950"/>
      <c r="J42" s="1950"/>
      <c r="K42" s="1950"/>
      <c r="L42" s="1950"/>
      <c r="M42" s="1950"/>
      <c r="N42" s="1950"/>
    </row>
    <row r="43" spans="1:19" ht="15" thickBot="1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</row>
    <row r="44" spans="1:19" s="157" customFormat="1" ht="32.25" customHeight="1">
      <c r="A44" s="1951" t="s">
        <v>32</v>
      </c>
      <c r="B44" s="1953" t="s">
        <v>392</v>
      </c>
      <c r="C44" s="1954"/>
      <c r="D44" s="1954"/>
      <c r="E44" s="1954"/>
      <c r="F44" s="1954"/>
      <c r="G44" s="1954"/>
      <c r="H44" s="1954"/>
      <c r="I44" s="1954"/>
      <c r="J44" s="1954"/>
      <c r="K44" s="1954"/>
      <c r="L44" s="1955"/>
      <c r="M44" s="1956" t="s">
        <v>41</v>
      </c>
    </row>
    <row r="45" spans="1:19" s="157" customFormat="1" ht="32.25" customHeight="1">
      <c r="A45" s="1952"/>
      <c r="B45" s="561" t="s">
        <v>263</v>
      </c>
      <c r="C45" s="561" t="s">
        <v>264</v>
      </c>
      <c r="D45" s="561" t="s">
        <v>265</v>
      </c>
      <c r="E45" s="561" t="s">
        <v>266</v>
      </c>
      <c r="F45" s="561" t="s">
        <v>267</v>
      </c>
      <c r="G45" s="561" t="s">
        <v>268</v>
      </c>
      <c r="H45" s="561" t="s">
        <v>269</v>
      </c>
      <c r="I45" s="561" t="s">
        <v>270</v>
      </c>
      <c r="J45" s="561" t="s">
        <v>271</v>
      </c>
      <c r="K45" s="561" t="s">
        <v>272</v>
      </c>
      <c r="L45" s="561" t="s">
        <v>273</v>
      </c>
      <c r="M45" s="1957"/>
    </row>
    <row r="46" spans="1:19" s="157" customFormat="1" ht="18.75" customHeight="1">
      <c r="A46" s="565" t="s">
        <v>247</v>
      </c>
      <c r="B46" s="1479">
        <f>+B5+B26</f>
        <v>9526</v>
      </c>
      <c r="C46" s="1479">
        <f t="shared" ref="C46:L46" si="6">+C5+C26</f>
        <v>20376</v>
      </c>
      <c r="D46" s="1479">
        <f t="shared" si="6"/>
        <v>18118</v>
      </c>
      <c r="E46" s="1479">
        <f t="shared" si="6"/>
        <v>15117</v>
      </c>
      <c r="F46" s="1479">
        <f t="shared" si="6"/>
        <v>11348</v>
      </c>
      <c r="G46" s="1479">
        <f t="shared" si="6"/>
        <v>7727</v>
      </c>
      <c r="H46" s="1479">
        <f t="shared" si="6"/>
        <v>5537</v>
      </c>
      <c r="I46" s="1479">
        <f t="shared" si="6"/>
        <v>3934</v>
      </c>
      <c r="J46" s="1479">
        <f t="shared" si="6"/>
        <v>2449</v>
      </c>
      <c r="K46" s="1479">
        <f t="shared" si="6"/>
        <v>1445</v>
      </c>
      <c r="L46" s="1479">
        <f t="shared" si="6"/>
        <v>1198</v>
      </c>
      <c r="M46" s="1488">
        <f t="shared" ref="M46:M57" si="7">SUM(B46:L46)</f>
        <v>96775</v>
      </c>
      <c r="O46" s="162"/>
    </row>
    <row r="47" spans="1:19" s="157" customFormat="1" ht="18.75" customHeight="1">
      <c r="A47" s="560" t="s">
        <v>12</v>
      </c>
      <c r="B47" s="1481">
        <f t="shared" ref="B47:L47" si="8">+B6+B27</f>
        <v>9768</v>
      </c>
      <c r="C47" s="1481">
        <f t="shared" si="8"/>
        <v>20533</v>
      </c>
      <c r="D47" s="1481">
        <f t="shared" si="8"/>
        <v>18113</v>
      </c>
      <c r="E47" s="1481">
        <f t="shared" si="8"/>
        <v>15130</v>
      </c>
      <c r="F47" s="1481">
        <f t="shared" si="8"/>
        <v>11299</v>
      </c>
      <c r="G47" s="1481">
        <f t="shared" si="8"/>
        <v>7678</v>
      </c>
      <c r="H47" s="1481">
        <f t="shared" si="8"/>
        <v>5541</v>
      </c>
      <c r="I47" s="1481">
        <f t="shared" si="8"/>
        <v>3916</v>
      </c>
      <c r="J47" s="1481">
        <f t="shared" si="8"/>
        <v>2440</v>
      </c>
      <c r="K47" s="1481">
        <f t="shared" si="8"/>
        <v>1431</v>
      </c>
      <c r="L47" s="1481">
        <f t="shared" si="8"/>
        <v>1186</v>
      </c>
      <c r="M47" s="1489">
        <f t="shared" si="7"/>
        <v>97035</v>
      </c>
      <c r="O47" s="162"/>
    </row>
    <row r="48" spans="1:19" s="157" customFormat="1" ht="18.75" customHeight="1">
      <c r="A48" s="565" t="s">
        <v>13</v>
      </c>
      <c r="B48" s="1479">
        <f t="shared" ref="B48:L48" si="9">+B7+B28</f>
        <v>10091</v>
      </c>
      <c r="C48" s="1479">
        <f t="shared" si="9"/>
        <v>20703</v>
      </c>
      <c r="D48" s="1479">
        <f t="shared" si="9"/>
        <v>18041</v>
      </c>
      <c r="E48" s="1479">
        <f t="shared" si="9"/>
        <v>15104</v>
      </c>
      <c r="F48" s="1479">
        <f t="shared" si="9"/>
        <v>11270</v>
      </c>
      <c r="G48" s="1479">
        <f t="shared" si="9"/>
        <v>7675</v>
      </c>
      <c r="H48" s="1479">
        <f t="shared" si="9"/>
        <v>5534</v>
      </c>
      <c r="I48" s="1479">
        <f t="shared" si="9"/>
        <v>3923</v>
      </c>
      <c r="J48" s="1479">
        <f t="shared" si="9"/>
        <v>2439</v>
      </c>
      <c r="K48" s="1479">
        <f t="shared" si="9"/>
        <v>1447</v>
      </c>
      <c r="L48" s="1479">
        <f t="shared" si="9"/>
        <v>1182</v>
      </c>
      <c r="M48" s="1488">
        <f t="shared" si="7"/>
        <v>97409</v>
      </c>
      <c r="O48" s="162"/>
    </row>
    <row r="49" spans="1:16" s="157" customFormat="1" ht="18.75" customHeight="1">
      <c r="A49" s="560" t="s">
        <v>53</v>
      </c>
      <c r="B49" s="1481">
        <f t="shared" ref="B49:L49" si="10">+B8+B29</f>
        <v>10276</v>
      </c>
      <c r="C49" s="1481">
        <f t="shared" si="10"/>
        <v>20630</v>
      </c>
      <c r="D49" s="1481">
        <f t="shared" si="10"/>
        <v>17991</v>
      </c>
      <c r="E49" s="1481">
        <f t="shared" si="10"/>
        <v>15053</v>
      </c>
      <c r="F49" s="1481">
        <f t="shared" si="10"/>
        <v>11192</v>
      </c>
      <c r="G49" s="1481">
        <f t="shared" si="10"/>
        <v>7625</v>
      </c>
      <c r="H49" s="1481">
        <f t="shared" si="10"/>
        <v>5477</v>
      </c>
      <c r="I49" s="1481">
        <f t="shared" si="10"/>
        <v>3900</v>
      </c>
      <c r="J49" s="1481">
        <f t="shared" si="10"/>
        <v>2412</v>
      </c>
      <c r="K49" s="1481">
        <f t="shared" si="10"/>
        <v>1444</v>
      </c>
      <c r="L49" s="1481">
        <f t="shared" si="10"/>
        <v>1171</v>
      </c>
      <c r="M49" s="1489">
        <f t="shared" si="7"/>
        <v>97171</v>
      </c>
      <c r="O49" s="162"/>
    </row>
    <row r="50" spans="1:16" s="157" customFormat="1" ht="18.75" customHeight="1">
      <c r="A50" s="565" t="s">
        <v>243</v>
      </c>
      <c r="B50" s="1479">
        <f t="shared" ref="B50:L50" si="11">+B9+B30</f>
        <v>10435</v>
      </c>
      <c r="C50" s="1479">
        <f t="shared" si="11"/>
        <v>20476</v>
      </c>
      <c r="D50" s="1479">
        <f t="shared" si="11"/>
        <v>17843</v>
      </c>
      <c r="E50" s="1479">
        <f t="shared" si="11"/>
        <v>14908</v>
      </c>
      <c r="F50" s="1479">
        <f t="shared" si="11"/>
        <v>11100</v>
      </c>
      <c r="G50" s="1479">
        <f t="shared" si="11"/>
        <v>7566</v>
      </c>
      <c r="H50" s="1479">
        <f t="shared" si="11"/>
        <v>5446</v>
      </c>
      <c r="I50" s="1479">
        <f t="shared" si="11"/>
        <v>3845</v>
      </c>
      <c r="J50" s="1479">
        <f t="shared" si="11"/>
        <v>2385</v>
      </c>
      <c r="K50" s="1479">
        <f t="shared" si="11"/>
        <v>1434</v>
      </c>
      <c r="L50" s="1479">
        <f t="shared" si="11"/>
        <v>1151</v>
      </c>
      <c r="M50" s="1488">
        <f t="shared" si="7"/>
        <v>96589</v>
      </c>
      <c r="O50" s="162"/>
    </row>
    <row r="51" spans="1:16" s="157" customFormat="1" ht="18.75" customHeight="1">
      <c r="A51" s="560" t="s">
        <v>54</v>
      </c>
      <c r="B51" s="1481">
        <f t="shared" ref="B51:L51" si="12">+B10+B31</f>
        <v>10676</v>
      </c>
      <c r="C51" s="1481">
        <f t="shared" si="12"/>
        <v>20401</v>
      </c>
      <c r="D51" s="1481">
        <f t="shared" si="12"/>
        <v>17815</v>
      </c>
      <c r="E51" s="1481">
        <f t="shared" si="12"/>
        <v>14825</v>
      </c>
      <c r="F51" s="1481">
        <f t="shared" si="12"/>
        <v>11021</v>
      </c>
      <c r="G51" s="1481">
        <f t="shared" si="12"/>
        <v>7513</v>
      </c>
      <c r="H51" s="1481">
        <f t="shared" si="12"/>
        <v>5389</v>
      </c>
      <c r="I51" s="1481">
        <f t="shared" si="12"/>
        <v>3818</v>
      </c>
      <c r="J51" s="1481">
        <f t="shared" si="12"/>
        <v>2373</v>
      </c>
      <c r="K51" s="1481">
        <f t="shared" si="12"/>
        <v>1430</v>
      </c>
      <c r="L51" s="1481">
        <f t="shared" si="12"/>
        <v>1139</v>
      </c>
      <c r="M51" s="1489">
        <f t="shared" si="7"/>
        <v>96400</v>
      </c>
      <c r="O51" s="162"/>
    </row>
    <row r="52" spans="1:16" s="157" customFormat="1" ht="18.75" customHeight="1">
      <c r="A52" s="565" t="s">
        <v>56</v>
      </c>
      <c r="B52" s="1479">
        <f t="shared" ref="B52:L52" si="13">+B11+B32</f>
        <v>11026</v>
      </c>
      <c r="C52" s="1479">
        <f t="shared" si="13"/>
        <v>20389</v>
      </c>
      <c r="D52" s="1479">
        <f t="shared" si="13"/>
        <v>17756</v>
      </c>
      <c r="E52" s="1479">
        <f t="shared" si="13"/>
        <v>14729</v>
      </c>
      <c r="F52" s="1479">
        <f t="shared" si="13"/>
        <v>10945</v>
      </c>
      <c r="G52" s="1479">
        <f t="shared" si="13"/>
        <v>7482</v>
      </c>
      <c r="H52" s="1479">
        <f t="shared" si="13"/>
        <v>5356</v>
      </c>
      <c r="I52" s="1479">
        <f t="shared" si="13"/>
        <v>3810</v>
      </c>
      <c r="J52" s="1479">
        <f t="shared" si="13"/>
        <v>2340</v>
      </c>
      <c r="K52" s="1479">
        <f t="shared" si="13"/>
        <v>1416</v>
      </c>
      <c r="L52" s="1479">
        <f t="shared" si="13"/>
        <v>1137</v>
      </c>
      <c r="M52" s="1488">
        <f t="shared" si="7"/>
        <v>96386</v>
      </c>
      <c r="O52" s="162"/>
    </row>
    <row r="53" spans="1:16" s="157" customFormat="1" ht="18.75" customHeight="1">
      <c r="A53" s="560" t="s">
        <v>68</v>
      </c>
      <c r="B53" s="1481">
        <f t="shared" ref="B53:L53" si="14">+B12+B33</f>
        <v>11149</v>
      </c>
      <c r="C53" s="1481">
        <f t="shared" si="14"/>
        <v>20342</v>
      </c>
      <c r="D53" s="1481">
        <f t="shared" si="14"/>
        <v>17687</v>
      </c>
      <c r="E53" s="1481">
        <f t="shared" si="14"/>
        <v>14716</v>
      </c>
      <c r="F53" s="1481">
        <f t="shared" si="14"/>
        <v>10944</v>
      </c>
      <c r="G53" s="1481">
        <f t="shared" si="14"/>
        <v>7422</v>
      </c>
      <c r="H53" s="1481">
        <f t="shared" si="14"/>
        <v>5390</v>
      </c>
      <c r="I53" s="1481">
        <f t="shared" si="14"/>
        <v>3841</v>
      </c>
      <c r="J53" s="1481">
        <f t="shared" si="14"/>
        <v>2325</v>
      </c>
      <c r="K53" s="1481">
        <f t="shared" si="14"/>
        <v>1427</v>
      </c>
      <c r="L53" s="1481">
        <f t="shared" si="14"/>
        <v>1142</v>
      </c>
      <c r="M53" s="1489">
        <f t="shared" si="7"/>
        <v>96385</v>
      </c>
      <c r="O53" s="162"/>
    </row>
    <row r="54" spans="1:16" s="157" customFormat="1" ht="18.75" customHeight="1">
      <c r="A54" s="565" t="s">
        <v>69</v>
      </c>
      <c r="B54" s="1479">
        <f t="shared" ref="B54:L54" si="15">+B13+B34</f>
        <v>11837</v>
      </c>
      <c r="C54" s="1479">
        <f t="shared" si="15"/>
        <v>20502</v>
      </c>
      <c r="D54" s="1479">
        <f t="shared" si="15"/>
        <v>17684</v>
      </c>
      <c r="E54" s="1479">
        <f t="shared" si="15"/>
        <v>14623</v>
      </c>
      <c r="F54" s="1479">
        <f t="shared" si="15"/>
        <v>10910</v>
      </c>
      <c r="G54" s="1479">
        <f t="shared" si="15"/>
        <v>7390</v>
      </c>
      <c r="H54" s="1479">
        <f t="shared" si="15"/>
        <v>5320</v>
      </c>
      <c r="I54" s="1479">
        <f t="shared" si="15"/>
        <v>3772</v>
      </c>
      <c r="J54" s="1479">
        <f t="shared" si="15"/>
        <v>2288</v>
      </c>
      <c r="K54" s="1479">
        <f t="shared" si="15"/>
        <v>1389</v>
      </c>
      <c r="L54" s="1479">
        <f t="shared" si="15"/>
        <v>1104</v>
      </c>
      <c r="M54" s="1488">
        <f t="shared" si="7"/>
        <v>96819</v>
      </c>
      <c r="O54" s="162"/>
    </row>
    <row r="55" spans="1:16" s="157" customFormat="1" ht="18.75" customHeight="1">
      <c r="A55" s="560" t="s">
        <v>248</v>
      </c>
      <c r="B55" s="1481">
        <f t="shared" ref="B55:L55" si="16">+B14+B35</f>
        <v>12739</v>
      </c>
      <c r="C55" s="1481">
        <f t="shared" si="16"/>
        <v>20340</v>
      </c>
      <c r="D55" s="1481">
        <f t="shared" si="16"/>
        <v>17559</v>
      </c>
      <c r="E55" s="1481">
        <f t="shared" si="16"/>
        <v>14498</v>
      </c>
      <c r="F55" s="1481">
        <f t="shared" si="16"/>
        <v>10767</v>
      </c>
      <c r="G55" s="1481">
        <f t="shared" si="16"/>
        <v>7298</v>
      </c>
      <c r="H55" s="1481">
        <f t="shared" si="16"/>
        <v>5254</v>
      </c>
      <c r="I55" s="1481">
        <f t="shared" si="16"/>
        <v>3735</v>
      </c>
      <c r="J55" s="1481">
        <f t="shared" si="16"/>
        <v>2263</v>
      </c>
      <c r="K55" s="1481">
        <f t="shared" si="16"/>
        <v>1369</v>
      </c>
      <c r="L55" s="1481">
        <f t="shared" si="16"/>
        <v>1076</v>
      </c>
      <c r="M55" s="1489">
        <f t="shared" si="7"/>
        <v>96898</v>
      </c>
      <c r="O55" s="162"/>
    </row>
    <row r="56" spans="1:16" s="157" customFormat="1" ht="18.75" customHeight="1">
      <c r="A56" s="565" t="s">
        <v>244</v>
      </c>
      <c r="B56" s="1479">
        <f t="shared" ref="B56:L56" si="17">+B15+B36</f>
        <v>12426</v>
      </c>
      <c r="C56" s="1479">
        <f t="shared" si="17"/>
        <v>20570</v>
      </c>
      <c r="D56" s="1479">
        <f t="shared" si="17"/>
        <v>17697</v>
      </c>
      <c r="E56" s="1479">
        <f t="shared" si="17"/>
        <v>14641</v>
      </c>
      <c r="F56" s="1479">
        <f t="shared" si="17"/>
        <v>10851</v>
      </c>
      <c r="G56" s="1479">
        <f t="shared" si="17"/>
        <v>7325</v>
      </c>
      <c r="H56" s="1479">
        <f t="shared" si="17"/>
        <v>5281</v>
      </c>
      <c r="I56" s="1479">
        <f t="shared" si="17"/>
        <v>3757</v>
      </c>
      <c r="J56" s="1479">
        <f t="shared" si="17"/>
        <v>2270</v>
      </c>
      <c r="K56" s="1479">
        <f t="shared" si="17"/>
        <v>1367</v>
      </c>
      <c r="L56" s="1479">
        <f t="shared" si="17"/>
        <v>1085</v>
      </c>
      <c r="M56" s="1488">
        <f t="shared" si="7"/>
        <v>97270</v>
      </c>
      <c r="O56" s="162"/>
    </row>
    <row r="57" spans="1:16" s="157" customFormat="1" ht="18.75" customHeight="1">
      <c r="A57" s="560" t="s">
        <v>249</v>
      </c>
      <c r="B57" s="1481">
        <f t="shared" ref="B57:L57" si="18">+B16+B37</f>
        <v>12458</v>
      </c>
      <c r="C57" s="1481">
        <f t="shared" si="18"/>
        <v>20579</v>
      </c>
      <c r="D57" s="1481">
        <f t="shared" si="18"/>
        <v>17593</v>
      </c>
      <c r="E57" s="1481">
        <f t="shared" si="18"/>
        <v>14541</v>
      </c>
      <c r="F57" s="1481">
        <f t="shared" si="18"/>
        <v>10769</v>
      </c>
      <c r="G57" s="1481">
        <f t="shared" si="18"/>
        <v>7303</v>
      </c>
      <c r="H57" s="1481">
        <f t="shared" si="18"/>
        <v>5266</v>
      </c>
      <c r="I57" s="1481">
        <f t="shared" si="18"/>
        <v>3724</v>
      </c>
      <c r="J57" s="1481">
        <f t="shared" si="18"/>
        <v>2248</v>
      </c>
      <c r="K57" s="1481">
        <f t="shared" si="18"/>
        <v>1354</v>
      </c>
      <c r="L57" s="1481">
        <f t="shared" si="18"/>
        <v>1078</v>
      </c>
      <c r="M57" s="1489">
        <f t="shared" si="7"/>
        <v>96913</v>
      </c>
      <c r="O57" s="162"/>
    </row>
    <row r="58" spans="1:16" s="157" customFormat="1" ht="27" customHeight="1">
      <c r="A58" s="1958" t="s">
        <v>391</v>
      </c>
      <c r="B58" s="1471">
        <f>AVERAGE(B46:B57)</f>
        <v>11033.916666666666</v>
      </c>
      <c r="C58" s="1471">
        <f t="shared" ref="C58:M58" si="19">AVERAGE(C46:C57)</f>
        <v>20486.75</v>
      </c>
      <c r="D58" s="1471">
        <f t="shared" si="19"/>
        <v>17824.75</v>
      </c>
      <c r="E58" s="1471">
        <f t="shared" si="19"/>
        <v>14823.75</v>
      </c>
      <c r="F58" s="1471">
        <f t="shared" si="19"/>
        <v>11034.666666666666</v>
      </c>
      <c r="G58" s="1471">
        <f t="shared" si="19"/>
        <v>7500.333333333333</v>
      </c>
      <c r="H58" s="1471">
        <f t="shared" si="19"/>
        <v>5399.25</v>
      </c>
      <c r="I58" s="1471">
        <f t="shared" si="19"/>
        <v>3831.25</v>
      </c>
      <c r="J58" s="1471">
        <f t="shared" si="19"/>
        <v>2352.6666666666665</v>
      </c>
      <c r="K58" s="1471">
        <f t="shared" si="19"/>
        <v>1412.75</v>
      </c>
      <c r="L58" s="1471">
        <f t="shared" si="19"/>
        <v>1137.4166666666667</v>
      </c>
      <c r="M58" s="1490">
        <f t="shared" si="19"/>
        <v>96837.5</v>
      </c>
      <c r="O58" s="552"/>
    </row>
    <row r="59" spans="1:16" s="157" customFormat="1" ht="27" customHeight="1" thickBot="1">
      <c r="A59" s="1884"/>
      <c r="B59" s="1436">
        <f>+B58/$M$58</f>
        <v>0.11394260143711543</v>
      </c>
      <c r="C59" s="1436">
        <f t="shared" ref="C59:L59" si="20">+C58/$M$58</f>
        <v>0.21155802246030722</v>
      </c>
      <c r="D59" s="1436">
        <f t="shared" si="20"/>
        <v>0.18406867174390087</v>
      </c>
      <c r="E59" s="1436">
        <f t="shared" si="20"/>
        <v>0.15307861107525494</v>
      </c>
      <c r="F59" s="1436">
        <f t="shared" si="20"/>
        <v>0.11395034637063808</v>
      </c>
      <c r="G59" s="1436">
        <f t="shared" si="20"/>
        <v>7.7452777419216037E-2</v>
      </c>
      <c r="H59" s="1436">
        <f t="shared" si="20"/>
        <v>5.5755776429585645E-2</v>
      </c>
      <c r="I59" s="1436">
        <f t="shared" si="20"/>
        <v>3.9563702078223829E-2</v>
      </c>
      <c r="J59" s="1436">
        <f t="shared" si="20"/>
        <v>2.4294995912396193E-2</v>
      </c>
      <c r="K59" s="1436">
        <f t="shared" si="20"/>
        <v>1.4588873112172454E-2</v>
      </c>
      <c r="L59" s="1436">
        <f t="shared" si="20"/>
        <v>1.1745621961189279E-2</v>
      </c>
      <c r="M59" s="1440">
        <f>+M58/$M$58</f>
        <v>1</v>
      </c>
      <c r="O59" s="1252">
        <f>SUM(B59:F59)</f>
        <v>0.77659825308721653</v>
      </c>
    </row>
    <row r="60" spans="1:16">
      <c r="A60" s="74"/>
      <c r="B60" s="70"/>
      <c r="C60" s="74"/>
      <c r="D60" s="74"/>
      <c r="E60" s="74"/>
      <c r="F60" s="74"/>
      <c r="G60" s="74"/>
      <c r="N60" s="157"/>
      <c r="O60" s="157"/>
      <c r="P60" s="157"/>
    </row>
    <row r="61" spans="1:16">
      <c r="B61" s="70"/>
      <c r="N61" s="157"/>
      <c r="O61" s="157"/>
      <c r="P61" s="157"/>
    </row>
    <row r="62" spans="1:16">
      <c r="B62" s="70"/>
    </row>
    <row r="63" spans="1:16" ht="15" thickBot="1">
      <c r="B63" s="70"/>
    </row>
    <row r="64" spans="1:16" s="157" customFormat="1" ht="32.25" customHeight="1">
      <c r="A64" s="1951" t="s">
        <v>32</v>
      </c>
      <c r="B64" s="1953" t="s">
        <v>392</v>
      </c>
      <c r="C64" s="1954"/>
      <c r="D64" s="1954"/>
      <c r="E64" s="1954"/>
      <c r="F64" s="1954"/>
      <c r="G64" s="1954"/>
      <c r="H64" s="1954"/>
      <c r="I64" s="1954"/>
      <c r="J64" s="1954"/>
      <c r="K64" s="1954"/>
      <c r="L64" s="1955"/>
      <c r="M64" s="1956" t="s">
        <v>41</v>
      </c>
    </row>
    <row r="65" spans="1:16" s="157" customFormat="1" ht="32.25" customHeight="1">
      <c r="A65" s="1952"/>
      <c r="B65" s="561" t="s">
        <v>263</v>
      </c>
      <c r="C65" s="561" t="s">
        <v>264</v>
      </c>
      <c r="D65" s="561" t="s">
        <v>265</v>
      </c>
      <c r="E65" s="561" t="s">
        <v>266</v>
      </c>
      <c r="F65" s="561" t="s">
        <v>267</v>
      </c>
      <c r="G65" s="561" t="s">
        <v>268</v>
      </c>
      <c r="H65" s="561" t="s">
        <v>269</v>
      </c>
      <c r="I65" s="561" t="s">
        <v>270</v>
      </c>
      <c r="J65" s="561" t="s">
        <v>271</v>
      </c>
      <c r="K65" s="561" t="s">
        <v>272</v>
      </c>
      <c r="L65" s="561" t="s">
        <v>273</v>
      </c>
      <c r="M65" s="1957"/>
      <c r="P65" s="950"/>
    </row>
    <row r="66" spans="1:16" s="157" customFormat="1" ht="18.75" customHeight="1">
      <c r="A66" s="948" t="s">
        <v>666</v>
      </c>
      <c r="B66" s="236">
        <v>21194</v>
      </c>
      <c r="C66" s="236">
        <v>24307</v>
      </c>
      <c r="D66" s="236">
        <v>20476</v>
      </c>
      <c r="E66" s="236">
        <v>16381</v>
      </c>
      <c r="F66" s="236">
        <v>11033</v>
      </c>
      <c r="G66" s="236">
        <v>7882</v>
      </c>
      <c r="H66" s="236">
        <v>5549</v>
      </c>
      <c r="I66" s="236">
        <v>3554</v>
      </c>
      <c r="J66" s="236">
        <v>2259</v>
      </c>
      <c r="K66" s="236">
        <v>1138</v>
      </c>
      <c r="L66" s="236">
        <v>977</v>
      </c>
      <c r="M66" s="566">
        <f>SUM(B66:L66)</f>
        <v>114750</v>
      </c>
      <c r="P66" s="950"/>
    </row>
    <row r="67" spans="1:16" s="157" customFormat="1" ht="18.75" customHeight="1">
      <c r="A67" s="949" t="s">
        <v>667</v>
      </c>
      <c r="B67" s="168">
        <v>20841</v>
      </c>
      <c r="C67" s="168">
        <v>25084</v>
      </c>
      <c r="D67" s="168">
        <v>20886</v>
      </c>
      <c r="E67" s="168">
        <v>17193</v>
      </c>
      <c r="F67" s="168">
        <v>11579</v>
      </c>
      <c r="G67" s="168">
        <v>8301</v>
      </c>
      <c r="H67" s="168">
        <v>5819</v>
      </c>
      <c r="I67" s="168">
        <v>3975</v>
      </c>
      <c r="J67" s="168">
        <v>2480</v>
      </c>
      <c r="K67" s="168">
        <v>1262</v>
      </c>
      <c r="L67" s="168">
        <v>1093</v>
      </c>
      <c r="M67" s="567">
        <f>SUM(B67:L67)</f>
        <v>118513</v>
      </c>
    </row>
    <row r="68" spans="1:16" s="157" customFormat="1" ht="18.75" customHeight="1">
      <c r="A68" s="948" t="s">
        <v>668</v>
      </c>
      <c r="B68" s="236">
        <v>22463</v>
      </c>
      <c r="C68" s="236">
        <v>25991</v>
      </c>
      <c r="D68" s="236">
        <v>21513</v>
      </c>
      <c r="E68" s="236">
        <v>17476</v>
      </c>
      <c r="F68" s="236">
        <v>12243</v>
      </c>
      <c r="G68" s="236">
        <v>8571</v>
      </c>
      <c r="H68" s="236">
        <v>6076</v>
      </c>
      <c r="I68" s="236">
        <v>4304</v>
      </c>
      <c r="J68" s="236">
        <v>2603</v>
      </c>
      <c r="K68" s="236">
        <v>1409</v>
      </c>
      <c r="L68" s="236">
        <v>1153</v>
      </c>
      <c r="M68" s="566">
        <f>SUM(B68:L68)</f>
        <v>123802</v>
      </c>
    </row>
    <row r="69" spans="1:16" s="157" customFormat="1" ht="18.75" customHeight="1">
      <c r="A69" s="949" t="s">
        <v>669</v>
      </c>
      <c r="B69" s="168">
        <v>12555</v>
      </c>
      <c r="C69" s="168">
        <v>20617</v>
      </c>
      <c r="D69" s="168">
        <v>17367</v>
      </c>
      <c r="E69" s="168">
        <v>14488</v>
      </c>
      <c r="F69" s="168">
        <v>10560</v>
      </c>
      <c r="G69" s="168">
        <v>7351</v>
      </c>
      <c r="H69" s="168">
        <v>5169</v>
      </c>
      <c r="I69" s="168">
        <v>3620</v>
      </c>
      <c r="J69" s="168">
        <v>2244</v>
      </c>
      <c r="K69" s="168">
        <v>1300</v>
      </c>
      <c r="L69" s="168">
        <v>1014</v>
      </c>
      <c r="M69" s="567">
        <f>SUM(B69:L69)</f>
        <v>96285</v>
      </c>
    </row>
    <row r="70" spans="1:16" s="157" customFormat="1" ht="18.75" customHeight="1">
      <c r="A70" s="948" t="s">
        <v>784</v>
      </c>
      <c r="B70" s="236">
        <f t="shared" ref="B70:L70" si="21">+B57</f>
        <v>12458</v>
      </c>
      <c r="C70" s="236">
        <f t="shared" si="21"/>
        <v>20579</v>
      </c>
      <c r="D70" s="236">
        <f t="shared" si="21"/>
        <v>17593</v>
      </c>
      <c r="E70" s="236">
        <f t="shared" si="21"/>
        <v>14541</v>
      </c>
      <c r="F70" s="236">
        <f t="shared" si="21"/>
        <v>10769</v>
      </c>
      <c r="G70" s="236">
        <f t="shared" si="21"/>
        <v>7303</v>
      </c>
      <c r="H70" s="236">
        <f t="shared" si="21"/>
        <v>5266</v>
      </c>
      <c r="I70" s="236">
        <f t="shared" si="21"/>
        <v>3724</v>
      </c>
      <c r="J70" s="236">
        <f t="shared" si="21"/>
        <v>2248</v>
      </c>
      <c r="K70" s="236">
        <f t="shared" si="21"/>
        <v>1354</v>
      </c>
      <c r="L70" s="236">
        <f t="shared" si="21"/>
        <v>1078</v>
      </c>
      <c r="M70" s="566">
        <f>SUM(B70:L70)</f>
        <v>96913</v>
      </c>
    </row>
    <row r="71" spans="1:16" s="157" customFormat="1" ht="27" customHeight="1">
      <c r="A71" s="1959" t="s">
        <v>391</v>
      </c>
      <c r="B71" s="1253">
        <f>AVERAGE(B66:B70)</f>
        <v>17902.2</v>
      </c>
      <c r="C71" s="1253">
        <f t="shared" ref="C71:M71" si="22">AVERAGE(C66:C70)</f>
        <v>23315.599999999999</v>
      </c>
      <c r="D71" s="1253">
        <f t="shared" si="22"/>
        <v>19567</v>
      </c>
      <c r="E71" s="1253">
        <f t="shared" si="22"/>
        <v>16015.8</v>
      </c>
      <c r="F71" s="1253">
        <f t="shared" si="22"/>
        <v>11236.8</v>
      </c>
      <c r="G71" s="1253">
        <f t="shared" si="22"/>
        <v>7881.6</v>
      </c>
      <c r="H71" s="1253">
        <f t="shared" si="22"/>
        <v>5575.8</v>
      </c>
      <c r="I71" s="1253">
        <f t="shared" si="22"/>
        <v>3835.4</v>
      </c>
      <c r="J71" s="1253">
        <f t="shared" si="22"/>
        <v>2366.8000000000002</v>
      </c>
      <c r="K71" s="1253">
        <f t="shared" si="22"/>
        <v>1292.5999999999999</v>
      </c>
      <c r="L71" s="1253">
        <f t="shared" si="22"/>
        <v>1063</v>
      </c>
      <c r="M71" s="569">
        <f t="shared" si="22"/>
        <v>110052.6</v>
      </c>
      <c r="O71" s="552"/>
    </row>
    <row r="72" spans="1:16" s="157" customFormat="1" ht="27" customHeight="1" thickBot="1">
      <c r="A72" s="1960"/>
      <c r="B72" s="1254">
        <f>+B71/$M$71</f>
        <v>0.16266948713615126</v>
      </c>
      <c r="C72" s="1254">
        <f t="shared" ref="C72:M72" si="23">+C71/$M$71</f>
        <v>0.21185869302497168</v>
      </c>
      <c r="D72" s="1254">
        <f t="shared" si="23"/>
        <v>0.17779679898521253</v>
      </c>
      <c r="E72" s="1254">
        <f t="shared" si="23"/>
        <v>0.14552859269113133</v>
      </c>
      <c r="F72" s="1254">
        <f t="shared" si="23"/>
        <v>0.10210390304272683</v>
      </c>
      <c r="G72" s="1254">
        <f t="shared" si="23"/>
        <v>7.1616663304637965E-2</v>
      </c>
      <c r="H72" s="1254">
        <f t="shared" si="23"/>
        <v>5.0664863892356929E-2</v>
      </c>
      <c r="I72" s="1254">
        <f t="shared" si="23"/>
        <v>3.485060780027005E-2</v>
      </c>
      <c r="J72" s="1254">
        <f t="shared" si="23"/>
        <v>2.1506079820013339E-2</v>
      </c>
      <c r="K72" s="1254">
        <f t="shared" si="23"/>
        <v>1.1745292705488101E-2</v>
      </c>
      <c r="L72" s="1254">
        <f t="shared" si="23"/>
        <v>9.6590175970399598E-3</v>
      </c>
      <c r="M72" s="563">
        <f t="shared" si="23"/>
        <v>1</v>
      </c>
    </row>
    <row r="73" spans="1:16">
      <c r="B73" s="70"/>
    </row>
    <row r="74" spans="1:16">
      <c r="B74" s="696"/>
      <c r="C74" s="697"/>
      <c r="D74" s="697"/>
      <c r="E74" s="697"/>
      <c r="F74" s="697"/>
      <c r="G74" s="697"/>
      <c r="H74" s="697"/>
      <c r="I74" s="697"/>
      <c r="J74" s="697"/>
      <c r="K74" s="697"/>
      <c r="L74" s="697"/>
    </row>
    <row r="76" spans="1:16">
      <c r="B76" s="218"/>
    </row>
    <row r="146" spans="7:28" ht="15">
      <c r="G146" s="122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</row>
  </sheetData>
  <mergeCells count="19">
    <mergeCell ref="A42:N42"/>
    <mergeCell ref="A64:A65"/>
    <mergeCell ref="B64:L64"/>
    <mergeCell ref="M64:M65"/>
    <mergeCell ref="A71:A72"/>
    <mergeCell ref="M44:M45"/>
    <mergeCell ref="A44:A45"/>
    <mergeCell ref="A58:A59"/>
    <mergeCell ref="B44:L44"/>
    <mergeCell ref="A21:N21"/>
    <mergeCell ref="A24:A25"/>
    <mergeCell ref="B24:L24"/>
    <mergeCell ref="M24:M25"/>
    <mergeCell ref="A38:A39"/>
    <mergeCell ref="A1:N1"/>
    <mergeCell ref="A3:A4"/>
    <mergeCell ref="B3:L3"/>
    <mergeCell ref="M3:M4"/>
    <mergeCell ref="A17:A1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009900"/>
  </sheetPr>
  <dimension ref="A1:AC117"/>
  <sheetViews>
    <sheetView showGridLines="0" topLeftCell="A8" zoomScale="70" zoomScaleNormal="70" workbookViewId="0">
      <selection activeCell="B4" sqref="B4:P24"/>
    </sheetView>
  </sheetViews>
  <sheetFormatPr baseColWidth="10" defaultRowHeight="15"/>
  <cols>
    <col min="1" max="1" width="1.85546875" style="1007" customWidth="1"/>
    <col min="2" max="2" width="36" customWidth="1"/>
    <col min="3" max="16" width="13.140625" customWidth="1"/>
    <col min="18" max="18" width="22.42578125" customWidth="1"/>
    <col min="19" max="23" width="29.42578125" customWidth="1"/>
  </cols>
  <sheetData>
    <row r="1" spans="2:23" s="3" customFormat="1" ht="18.75" customHeight="1">
      <c r="B1" s="1963"/>
      <c r="C1" s="1963"/>
      <c r="D1" s="2"/>
      <c r="E1" s="2"/>
      <c r="F1" s="2"/>
      <c r="G1" s="2"/>
      <c r="H1" s="2"/>
    </row>
    <row r="2" spans="2:23" ht="23.25" customHeight="1">
      <c r="B2" s="1890" t="s">
        <v>727</v>
      </c>
      <c r="C2" s="1890"/>
      <c r="D2" s="1890"/>
      <c r="E2" s="1890"/>
      <c r="F2" s="1890"/>
      <c r="G2" s="1890"/>
      <c r="H2" s="1890"/>
      <c r="I2" s="1890"/>
      <c r="J2" s="1890"/>
      <c r="K2" s="1890"/>
      <c r="L2" s="1890"/>
      <c r="M2" s="1890"/>
      <c r="N2" s="1890"/>
      <c r="O2" s="1890"/>
      <c r="P2" s="1890"/>
    </row>
    <row r="3" spans="2:23" ht="15.75" thickBot="1">
      <c r="B3" s="163"/>
      <c r="J3" s="3"/>
      <c r="K3" s="3"/>
      <c r="L3" s="3"/>
      <c r="M3" s="3"/>
      <c r="N3" s="3"/>
      <c r="O3" s="3"/>
    </row>
    <row r="4" spans="2:23" s="3" customFormat="1" ht="38.25" customHeight="1">
      <c r="B4" s="1491" t="s">
        <v>90</v>
      </c>
      <c r="C4" s="1393" t="s">
        <v>252</v>
      </c>
      <c r="D4" s="1393" t="s">
        <v>253</v>
      </c>
      <c r="E4" s="1393" t="s">
        <v>254</v>
      </c>
      <c r="F4" s="1393" t="s">
        <v>255</v>
      </c>
      <c r="G4" s="1393" t="s">
        <v>256</v>
      </c>
      <c r="H4" s="1393" t="s">
        <v>257</v>
      </c>
      <c r="I4" s="1393" t="s">
        <v>258</v>
      </c>
      <c r="J4" s="1393" t="s">
        <v>259</v>
      </c>
      <c r="K4" s="1393" t="s">
        <v>260</v>
      </c>
      <c r="L4" s="1393" t="s">
        <v>261</v>
      </c>
      <c r="M4" s="1393" t="s">
        <v>240</v>
      </c>
      <c r="N4" s="1393" t="s">
        <v>241</v>
      </c>
      <c r="O4" s="1961" t="s">
        <v>393</v>
      </c>
      <c r="P4" s="1962"/>
    </row>
    <row r="5" spans="2:23" s="3" customFormat="1" ht="22.5" customHeight="1">
      <c r="B5" s="1492" t="s">
        <v>18</v>
      </c>
      <c r="C5" s="1493">
        <v>4675</v>
      </c>
      <c r="D5" s="1494">
        <v>4655</v>
      </c>
      <c r="E5" s="1494">
        <v>4670</v>
      </c>
      <c r="F5" s="1494">
        <v>4641</v>
      </c>
      <c r="G5" s="1494">
        <v>4598</v>
      </c>
      <c r="H5" s="1494">
        <v>4579</v>
      </c>
      <c r="I5" s="1494">
        <v>3933</v>
      </c>
      <c r="J5" s="1494">
        <v>3802</v>
      </c>
      <c r="K5" s="1494">
        <v>3957</v>
      </c>
      <c r="L5" s="1494">
        <v>3919</v>
      </c>
      <c r="M5" s="1494">
        <v>3814</v>
      </c>
      <c r="N5" s="1494">
        <v>3575</v>
      </c>
      <c r="O5" s="1494">
        <f>AVERAGE(C5:N5)</f>
        <v>4234.833333333333</v>
      </c>
      <c r="P5" s="1495">
        <f>+O5/$O$24</f>
        <v>4.3731336861580823E-2</v>
      </c>
      <c r="S5" s="1261">
        <v>5390.666666666667</v>
      </c>
      <c r="T5" s="1262">
        <v>38114.333333333336</v>
      </c>
      <c r="U5" s="1262">
        <v>64010.333333333336</v>
      </c>
      <c r="V5" s="1262">
        <v>3676</v>
      </c>
      <c r="W5" s="1263">
        <v>275</v>
      </c>
    </row>
    <row r="6" spans="2:23" s="3" customFormat="1" ht="22.5" customHeight="1">
      <c r="B6" s="1496" t="s">
        <v>17</v>
      </c>
      <c r="C6" s="1497">
        <f t="shared" ref="C6:I6" si="0">SUM(C5)</f>
        <v>4675</v>
      </c>
      <c r="D6" s="1497">
        <f t="shared" si="0"/>
        <v>4655</v>
      </c>
      <c r="E6" s="1497">
        <f t="shared" si="0"/>
        <v>4670</v>
      </c>
      <c r="F6" s="1497">
        <f t="shared" si="0"/>
        <v>4641</v>
      </c>
      <c r="G6" s="1497">
        <f t="shared" si="0"/>
        <v>4598</v>
      </c>
      <c r="H6" s="1497">
        <f t="shared" si="0"/>
        <v>4579</v>
      </c>
      <c r="I6" s="1497">
        <f t="shared" si="0"/>
        <v>3933</v>
      </c>
      <c r="J6" s="1497">
        <f>SUM(J5)</f>
        <v>3802</v>
      </c>
      <c r="K6" s="1497">
        <f>SUM(K5)</f>
        <v>3957</v>
      </c>
      <c r="L6" s="1497">
        <f>SUM(L5)</f>
        <v>3919</v>
      </c>
      <c r="M6" s="1497">
        <f>SUM(M5)</f>
        <v>3814</v>
      </c>
      <c r="N6" s="1497">
        <f>SUM(N5)</f>
        <v>3575</v>
      </c>
      <c r="O6" s="1497">
        <f t="shared" ref="O6:O22" si="1">AVERAGE(C6:N6)</f>
        <v>4234.833333333333</v>
      </c>
      <c r="P6" s="1498">
        <f>+O6/$O$24</f>
        <v>4.3731336861580823E-2</v>
      </c>
      <c r="S6" s="1264">
        <v>4.836160557420436E-2</v>
      </c>
      <c r="T6" s="1265">
        <v>0.34193736496235771</v>
      </c>
      <c r="U6" s="1265">
        <v>0.57425967598441974</v>
      </c>
      <c r="V6" s="1265">
        <v>3.297871545092293E-2</v>
      </c>
      <c r="W6" s="1266">
        <v>2.4671237075636035E-3</v>
      </c>
    </row>
    <row r="7" spans="2:23" s="3" customFormat="1" ht="22.5" customHeight="1">
      <c r="B7" s="1499" t="s">
        <v>19</v>
      </c>
      <c r="C7" s="1493"/>
      <c r="D7" s="1494"/>
      <c r="E7" s="1494"/>
      <c r="F7" s="1494"/>
      <c r="G7" s="1494"/>
      <c r="H7" s="1494"/>
      <c r="I7" s="1494"/>
      <c r="J7" s="1494"/>
      <c r="K7" s="1494"/>
      <c r="L7" s="1494"/>
      <c r="M7" s="1494"/>
      <c r="N7" s="1494"/>
      <c r="O7" s="1494"/>
      <c r="P7" s="1495"/>
    </row>
    <row r="8" spans="2:23" s="3" customFormat="1" ht="22.5" customHeight="1">
      <c r="B8" s="1500" t="s">
        <v>306</v>
      </c>
      <c r="C8" s="1493">
        <v>12386</v>
      </c>
      <c r="D8" s="1494">
        <v>12356</v>
      </c>
      <c r="E8" s="1494">
        <v>12413</v>
      </c>
      <c r="F8" s="1494">
        <v>12351</v>
      </c>
      <c r="G8" s="1494">
        <v>12254</v>
      </c>
      <c r="H8" s="1494">
        <v>12195</v>
      </c>
      <c r="I8" s="1494">
        <v>12156</v>
      </c>
      <c r="J8" s="1494">
        <v>12213</v>
      </c>
      <c r="K8" s="1494">
        <v>12064</v>
      </c>
      <c r="L8" s="1494">
        <v>11998</v>
      </c>
      <c r="M8" s="1494">
        <v>12008</v>
      </c>
      <c r="N8" s="1494">
        <v>12009</v>
      </c>
      <c r="O8" s="1494">
        <f t="shared" si="1"/>
        <v>12200.25</v>
      </c>
      <c r="P8" s="1495">
        <f t="shared" ref="P8:P24" si="2">+O8/$O$24</f>
        <v>0.1259868336130115</v>
      </c>
    </row>
    <row r="9" spans="2:23" s="3" customFormat="1" ht="22.5" customHeight="1">
      <c r="B9" s="1501" t="s">
        <v>307</v>
      </c>
      <c r="C9" s="1493">
        <v>19865</v>
      </c>
      <c r="D9" s="1494">
        <v>19998</v>
      </c>
      <c r="E9" s="1494">
        <v>20065</v>
      </c>
      <c r="F9" s="1494">
        <v>20008</v>
      </c>
      <c r="G9" s="1494">
        <v>19894</v>
      </c>
      <c r="H9" s="1494">
        <v>19816</v>
      </c>
      <c r="I9" s="1494">
        <v>19722</v>
      </c>
      <c r="J9" s="1494">
        <v>19569</v>
      </c>
      <c r="K9" s="1494">
        <v>19772</v>
      </c>
      <c r="L9" s="1494">
        <v>19757</v>
      </c>
      <c r="M9" s="1494">
        <v>19780</v>
      </c>
      <c r="N9" s="1494">
        <v>19705</v>
      </c>
      <c r="O9" s="1494">
        <f t="shared" si="1"/>
        <v>19829.25</v>
      </c>
      <c r="P9" s="1495">
        <f t="shared" si="2"/>
        <v>0.20476829740544727</v>
      </c>
    </row>
    <row r="10" spans="2:23" s="3" customFormat="1" ht="22.5" customHeight="1">
      <c r="B10" s="1496" t="s">
        <v>17</v>
      </c>
      <c r="C10" s="1497">
        <f t="shared" ref="C10:O10" si="3">SUM(C8:C9)</f>
        <v>32251</v>
      </c>
      <c r="D10" s="1497">
        <f t="shared" si="3"/>
        <v>32354</v>
      </c>
      <c r="E10" s="1497">
        <f t="shared" si="3"/>
        <v>32478</v>
      </c>
      <c r="F10" s="1497">
        <f t="shared" si="3"/>
        <v>32359</v>
      </c>
      <c r="G10" s="1497">
        <f t="shared" si="3"/>
        <v>32148</v>
      </c>
      <c r="H10" s="1497">
        <f t="shared" si="3"/>
        <v>32011</v>
      </c>
      <c r="I10" s="1497">
        <f t="shared" si="3"/>
        <v>31878</v>
      </c>
      <c r="J10" s="1497">
        <f t="shared" si="3"/>
        <v>31782</v>
      </c>
      <c r="K10" s="1497">
        <f t="shared" si="3"/>
        <v>31836</v>
      </c>
      <c r="L10" s="1497">
        <f t="shared" si="3"/>
        <v>31755</v>
      </c>
      <c r="M10" s="1497">
        <f t="shared" si="3"/>
        <v>31788</v>
      </c>
      <c r="N10" s="1497">
        <f t="shared" si="3"/>
        <v>31714</v>
      </c>
      <c r="O10" s="1497">
        <f t="shared" si="3"/>
        <v>32029.5</v>
      </c>
      <c r="P10" s="1498">
        <f t="shared" si="2"/>
        <v>0.33075513101845877</v>
      </c>
    </row>
    <row r="11" spans="2:23" s="3" customFormat="1" ht="22.5" customHeight="1">
      <c r="B11" s="1502" t="s">
        <v>670</v>
      </c>
      <c r="C11" s="1493"/>
      <c r="D11" s="1494"/>
      <c r="E11" s="1494"/>
      <c r="F11" s="1494"/>
      <c r="G11" s="1494"/>
      <c r="H11" s="1494"/>
      <c r="I11" s="1494"/>
      <c r="J11" s="1494"/>
      <c r="K11" s="1494"/>
      <c r="L11" s="1494"/>
      <c r="M11" s="1494"/>
      <c r="N11" s="1494"/>
      <c r="O11" s="1494"/>
      <c r="P11" s="1495"/>
    </row>
    <row r="12" spans="2:23" s="3" customFormat="1" ht="22.5" customHeight="1">
      <c r="B12" s="1501" t="s">
        <v>308</v>
      </c>
      <c r="C12" s="1493">
        <v>16844</v>
      </c>
      <c r="D12" s="1494">
        <v>16812</v>
      </c>
      <c r="E12" s="1494">
        <v>17235</v>
      </c>
      <c r="F12" s="1494">
        <v>16689</v>
      </c>
      <c r="G12" s="1494">
        <v>16609</v>
      </c>
      <c r="H12" s="1494">
        <v>16537</v>
      </c>
      <c r="I12" s="1494">
        <v>17248</v>
      </c>
      <c r="J12" s="1494">
        <v>17240</v>
      </c>
      <c r="K12" s="1494">
        <v>17315</v>
      </c>
      <c r="L12" s="1494">
        <v>17407</v>
      </c>
      <c r="M12" s="1494">
        <v>17508</v>
      </c>
      <c r="N12" s="1494">
        <v>17487</v>
      </c>
      <c r="O12" s="1494">
        <f t="shared" si="1"/>
        <v>17077.583333333332</v>
      </c>
      <c r="P12" s="1495">
        <f t="shared" si="2"/>
        <v>0.17635299685899916</v>
      </c>
    </row>
    <row r="13" spans="2:23" s="3" customFormat="1" ht="22.5" customHeight="1">
      <c r="B13" s="1501" t="s">
        <v>309</v>
      </c>
      <c r="C13" s="1493">
        <v>14577</v>
      </c>
      <c r="D13" s="1494">
        <v>14626</v>
      </c>
      <c r="E13" s="1494">
        <v>14539</v>
      </c>
      <c r="F13" s="1494">
        <v>14726</v>
      </c>
      <c r="G13" s="1494">
        <v>14613</v>
      </c>
      <c r="H13" s="1494">
        <v>14578</v>
      </c>
      <c r="I13" s="1494">
        <v>14553</v>
      </c>
      <c r="J13" s="1494">
        <v>14486</v>
      </c>
      <c r="K13" s="1494">
        <v>14594</v>
      </c>
      <c r="L13" s="1494">
        <v>14607</v>
      </c>
      <c r="M13" s="1494">
        <v>14687</v>
      </c>
      <c r="N13" s="1494">
        <v>14671</v>
      </c>
      <c r="O13" s="1494">
        <f t="shared" si="1"/>
        <v>14604.75</v>
      </c>
      <c r="P13" s="1495">
        <f t="shared" si="2"/>
        <v>0.15081709048663999</v>
      </c>
    </row>
    <row r="14" spans="2:23" s="3" customFormat="1" ht="22.5" customHeight="1">
      <c r="B14" s="1501" t="s">
        <v>310</v>
      </c>
      <c r="C14" s="1493">
        <v>6379</v>
      </c>
      <c r="D14" s="1494">
        <v>6449</v>
      </c>
      <c r="E14" s="1494">
        <v>6424</v>
      </c>
      <c r="F14" s="1494">
        <v>6477</v>
      </c>
      <c r="G14" s="1494">
        <v>6417</v>
      </c>
      <c r="H14" s="1494">
        <v>6460</v>
      </c>
      <c r="I14" s="1494">
        <v>6444</v>
      </c>
      <c r="J14" s="1494">
        <v>6382</v>
      </c>
      <c r="K14" s="1494">
        <v>6505</v>
      </c>
      <c r="L14" s="1494">
        <v>6562</v>
      </c>
      <c r="M14" s="1494">
        <v>6663</v>
      </c>
      <c r="N14" s="1494">
        <v>6710</v>
      </c>
      <c r="O14" s="1494">
        <f t="shared" si="1"/>
        <v>6489.333333333333</v>
      </c>
      <c r="P14" s="1495">
        <f t="shared" si="2"/>
        <v>6.7012607030678545E-2</v>
      </c>
    </row>
    <row r="15" spans="2:23" s="3" customFormat="1" ht="22.5" customHeight="1">
      <c r="B15" s="1501" t="s">
        <v>311</v>
      </c>
      <c r="C15" s="1493">
        <v>18575</v>
      </c>
      <c r="D15" s="1494">
        <v>18661</v>
      </c>
      <c r="E15" s="1494">
        <v>18588</v>
      </c>
      <c r="F15" s="1494">
        <v>18813</v>
      </c>
      <c r="G15" s="1494">
        <v>18742</v>
      </c>
      <c r="H15" s="1494">
        <v>18782</v>
      </c>
      <c r="I15" s="1494">
        <v>18874</v>
      </c>
      <c r="J15" s="1494">
        <v>19070</v>
      </c>
      <c r="K15" s="1494">
        <v>19114</v>
      </c>
      <c r="L15" s="1494">
        <v>19152</v>
      </c>
      <c r="M15" s="1494">
        <v>19294</v>
      </c>
      <c r="N15" s="1494">
        <v>19295</v>
      </c>
      <c r="O15" s="1494">
        <f t="shared" si="1"/>
        <v>18913.333333333332</v>
      </c>
      <c r="P15" s="1495">
        <f t="shared" si="2"/>
        <v>0.19531001247794844</v>
      </c>
    </row>
    <row r="16" spans="2:23" s="3" customFormat="1" ht="22.5" customHeight="1">
      <c r="B16" s="1496" t="s">
        <v>17</v>
      </c>
      <c r="C16" s="1497">
        <f t="shared" ref="C16:I16" si="4">SUM(C12:C15)</f>
        <v>56375</v>
      </c>
      <c r="D16" s="1497">
        <f t="shared" si="4"/>
        <v>56548</v>
      </c>
      <c r="E16" s="1497">
        <f t="shared" si="4"/>
        <v>56786</v>
      </c>
      <c r="F16" s="1497">
        <f t="shared" si="4"/>
        <v>56705</v>
      </c>
      <c r="G16" s="1497">
        <f t="shared" si="4"/>
        <v>56381</v>
      </c>
      <c r="H16" s="1497">
        <f t="shared" si="4"/>
        <v>56357</v>
      </c>
      <c r="I16" s="1497">
        <f t="shared" si="4"/>
        <v>57119</v>
      </c>
      <c r="J16" s="1497">
        <f t="shared" ref="J16:O16" si="5">SUM(J12:J15)</f>
        <v>57178</v>
      </c>
      <c r="K16" s="1497">
        <f t="shared" si="5"/>
        <v>57528</v>
      </c>
      <c r="L16" s="1497">
        <f t="shared" si="5"/>
        <v>57728</v>
      </c>
      <c r="M16" s="1497">
        <f t="shared" si="5"/>
        <v>58152</v>
      </c>
      <c r="N16" s="1497">
        <f t="shared" si="5"/>
        <v>58163</v>
      </c>
      <c r="O16" s="1497">
        <f t="shared" si="5"/>
        <v>57085</v>
      </c>
      <c r="P16" s="1498">
        <f t="shared" si="2"/>
        <v>0.58949270685426614</v>
      </c>
    </row>
    <row r="17" spans="2:29" s="3" customFormat="1" ht="22.5" customHeight="1">
      <c r="B17" s="1499" t="s">
        <v>120</v>
      </c>
      <c r="C17" s="1493"/>
      <c r="D17" s="1494"/>
      <c r="E17" s="1494"/>
      <c r="F17" s="1494"/>
      <c r="G17" s="1494"/>
      <c r="H17" s="1494"/>
      <c r="I17" s="1494"/>
      <c r="J17" s="1494"/>
      <c r="K17" s="1494"/>
      <c r="L17" s="1494"/>
      <c r="M17" s="1494"/>
      <c r="N17" s="1494"/>
      <c r="O17" s="1494"/>
      <c r="P17" s="1495"/>
    </row>
    <row r="18" spans="2:29" s="3" customFormat="1" ht="22.5" customHeight="1">
      <c r="B18" s="1501" t="s">
        <v>34</v>
      </c>
      <c r="C18" s="1493">
        <v>1740</v>
      </c>
      <c r="D18" s="1494">
        <v>1744</v>
      </c>
      <c r="E18" s="1494">
        <v>1741</v>
      </c>
      <c r="F18" s="1494">
        <v>1749</v>
      </c>
      <c r="G18" s="1494">
        <v>1746</v>
      </c>
      <c r="H18" s="1494">
        <v>1748</v>
      </c>
      <c r="I18" s="1494">
        <v>1755</v>
      </c>
      <c r="J18" s="1494">
        <v>1876</v>
      </c>
      <c r="K18" s="1494">
        <v>1790</v>
      </c>
      <c r="L18" s="1494">
        <v>1805</v>
      </c>
      <c r="M18" s="1494">
        <v>1808</v>
      </c>
      <c r="N18" s="1494">
        <v>1788</v>
      </c>
      <c r="O18" s="1494">
        <f t="shared" si="1"/>
        <v>1774.1666666666667</v>
      </c>
      <c r="P18" s="1495">
        <f t="shared" si="2"/>
        <v>1.8321070521922465E-2</v>
      </c>
    </row>
    <row r="19" spans="2:29" s="3" customFormat="1" ht="22.5" customHeight="1">
      <c r="B19" s="1501" t="s">
        <v>35</v>
      </c>
      <c r="C19" s="1493">
        <v>496</v>
      </c>
      <c r="D19" s="1494">
        <v>500</v>
      </c>
      <c r="E19" s="1494">
        <v>502</v>
      </c>
      <c r="F19" s="1494">
        <v>491</v>
      </c>
      <c r="G19" s="1494">
        <v>493</v>
      </c>
      <c r="H19" s="1494">
        <v>490</v>
      </c>
      <c r="I19" s="1494">
        <v>490</v>
      </c>
      <c r="J19" s="1494">
        <v>514</v>
      </c>
      <c r="K19" s="1494">
        <v>494</v>
      </c>
      <c r="L19" s="1494">
        <v>488</v>
      </c>
      <c r="M19" s="1494">
        <v>496</v>
      </c>
      <c r="N19" s="1494">
        <v>492</v>
      </c>
      <c r="O19" s="1494">
        <f t="shared" si="1"/>
        <v>495.5</v>
      </c>
      <c r="P19" s="1495">
        <f t="shared" si="2"/>
        <v>5.1168194139666967E-3</v>
      </c>
    </row>
    <row r="20" spans="2:29" s="3" customFormat="1" ht="22.5" customHeight="1">
      <c r="B20" s="1501" t="s">
        <v>36</v>
      </c>
      <c r="C20" s="1493">
        <v>976</v>
      </c>
      <c r="D20" s="1494">
        <v>974</v>
      </c>
      <c r="E20" s="1494">
        <v>968</v>
      </c>
      <c r="F20" s="1494">
        <v>962</v>
      </c>
      <c r="G20" s="1494">
        <v>957</v>
      </c>
      <c r="H20" s="1494">
        <v>956</v>
      </c>
      <c r="I20" s="1494">
        <v>952</v>
      </c>
      <c r="J20" s="1494">
        <v>972</v>
      </c>
      <c r="K20" s="1494">
        <v>958</v>
      </c>
      <c r="L20" s="1494">
        <v>949</v>
      </c>
      <c r="M20" s="1494">
        <v>952</v>
      </c>
      <c r="N20" s="1494">
        <v>925</v>
      </c>
      <c r="O20" s="1494">
        <f t="shared" si="1"/>
        <v>958.41666666666663</v>
      </c>
      <c r="P20" s="1495">
        <f t="shared" si="2"/>
        <v>9.8971644937825391E-3</v>
      </c>
    </row>
    <row r="21" spans="2:29" s="3" customFormat="1" ht="22.5" customHeight="1">
      <c r="B21" s="1496" t="s">
        <v>17</v>
      </c>
      <c r="C21" s="1497">
        <f t="shared" ref="C21:I21" si="6">SUM(C18:C20)</f>
        <v>3212</v>
      </c>
      <c r="D21" s="1497">
        <f t="shared" si="6"/>
        <v>3218</v>
      </c>
      <c r="E21" s="1497">
        <f t="shared" si="6"/>
        <v>3211</v>
      </c>
      <c r="F21" s="1497">
        <f t="shared" si="6"/>
        <v>3202</v>
      </c>
      <c r="G21" s="1497">
        <f t="shared" si="6"/>
        <v>3196</v>
      </c>
      <c r="H21" s="1497">
        <f t="shared" si="6"/>
        <v>3194</v>
      </c>
      <c r="I21" s="1497">
        <f t="shared" si="6"/>
        <v>3197</v>
      </c>
      <c r="J21" s="1497">
        <f t="shared" ref="J21:O21" si="7">SUM(J18:J20)</f>
        <v>3362</v>
      </c>
      <c r="K21" s="1497">
        <f t="shared" si="7"/>
        <v>3242</v>
      </c>
      <c r="L21" s="1497">
        <f t="shared" si="7"/>
        <v>3242</v>
      </c>
      <c r="M21" s="1497">
        <f t="shared" si="7"/>
        <v>3256</v>
      </c>
      <c r="N21" s="1497">
        <f t="shared" si="7"/>
        <v>3205</v>
      </c>
      <c r="O21" s="1497">
        <f t="shared" si="7"/>
        <v>3228.0833333333335</v>
      </c>
      <c r="P21" s="1498">
        <f t="shared" si="2"/>
        <v>3.3335054429671704E-2</v>
      </c>
    </row>
    <row r="22" spans="2:29" s="3" customFormat="1" ht="22.5" customHeight="1">
      <c r="B22" s="1499" t="s">
        <v>125</v>
      </c>
      <c r="C22" s="1493">
        <v>262</v>
      </c>
      <c r="D22" s="1494">
        <v>260</v>
      </c>
      <c r="E22" s="1494">
        <v>264</v>
      </c>
      <c r="F22" s="1494">
        <v>264</v>
      </c>
      <c r="G22" s="1494">
        <v>266</v>
      </c>
      <c r="H22" s="1494">
        <v>259</v>
      </c>
      <c r="I22" s="1494">
        <v>259</v>
      </c>
      <c r="J22" s="1494">
        <v>261</v>
      </c>
      <c r="K22" s="1494">
        <v>256</v>
      </c>
      <c r="L22" s="1494">
        <v>254</v>
      </c>
      <c r="M22" s="1494">
        <v>260</v>
      </c>
      <c r="N22" s="1494">
        <v>256</v>
      </c>
      <c r="O22" s="1494">
        <f t="shared" si="1"/>
        <v>260.08333333333331</v>
      </c>
      <c r="P22" s="1495">
        <f t="shared" si="2"/>
        <v>2.685770836022546E-3</v>
      </c>
    </row>
    <row r="23" spans="2:29" s="3" customFormat="1" ht="22.5" customHeight="1">
      <c r="B23" s="1496" t="s">
        <v>17</v>
      </c>
      <c r="C23" s="1497">
        <f t="shared" ref="C23:I23" si="8">SUM(C22)</f>
        <v>262</v>
      </c>
      <c r="D23" s="1497">
        <f t="shared" si="8"/>
        <v>260</v>
      </c>
      <c r="E23" s="1497">
        <f t="shared" si="8"/>
        <v>264</v>
      </c>
      <c r="F23" s="1497">
        <f t="shared" si="8"/>
        <v>264</v>
      </c>
      <c r="G23" s="1497">
        <f t="shared" si="8"/>
        <v>266</v>
      </c>
      <c r="H23" s="1497">
        <f t="shared" si="8"/>
        <v>259</v>
      </c>
      <c r="I23" s="1497">
        <f t="shared" si="8"/>
        <v>259</v>
      </c>
      <c r="J23" s="1497">
        <f t="shared" ref="J23:O23" si="9">SUM(J22)</f>
        <v>261</v>
      </c>
      <c r="K23" s="1497">
        <f t="shared" si="9"/>
        <v>256</v>
      </c>
      <c r="L23" s="1497">
        <f t="shared" si="9"/>
        <v>254</v>
      </c>
      <c r="M23" s="1497">
        <f t="shared" si="9"/>
        <v>260</v>
      </c>
      <c r="N23" s="1497">
        <f t="shared" si="9"/>
        <v>256</v>
      </c>
      <c r="O23" s="1497">
        <f t="shared" si="9"/>
        <v>260.08333333333331</v>
      </c>
      <c r="P23" s="1498">
        <f t="shared" si="2"/>
        <v>2.685770836022546E-3</v>
      </c>
    </row>
    <row r="24" spans="2:29" s="3" customFormat="1" ht="27.75" customHeight="1" thickBot="1">
      <c r="B24" s="1503" t="s">
        <v>914</v>
      </c>
      <c r="C24" s="1504">
        <f t="shared" ref="C24:O24" si="10">+C6+C10+C16+C21+C23</f>
        <v>96775</v>
      </c>
      <c r="D24" s="1504">
        <f t="shared" si="10"/>
        <v>97035</v>
      </c>
      <c r="E24" s="1504">
        <f t="shared" si="10"/>
        <v>97409</v>
      </c>
      <c r="F24" s="1504">
        <f t="shared" si="10"/>
        <v>97171</v>
      </c>
      <c r="G24" s="1504">
        <f t="shared" si="10"/>
        <v>96589</v>
      </c>
      <c r="H24" s="1504">
        <f t="shared" si="10"/>
        <v>96400</v>
      </c>
      <c r="I24" s="1504">
        <f t="shared" si="10"/>
        <v>96386</v>
      </c>
      <c r="J24" s="1504">
        <f t="shared" si="10"/>
        <v>96385</v>
      </c>
      <c r="K24" s="1504">
        <f t="shared" si="10"/>
        <v>96819</v>
      </c>
      <c r="L24" s="1504">
        <f t="shared" si="10"/>
        <v>96898</v>
      </c>
      <c r="M24" s="1504">
        <f t="shared" si="10"/>
        <v>97270</v>
      </c>
      <c r="N24" s="1504">
        <f t="shared" si="10"/>
        <v>96913</v>
      </c>
      <c r="O24" s="1504">
        <f t="shared" si="10"/>
        <v>96837.5</v>
      </c>
      <c r="P24" s="1505">
        <f t="shared" si="2"/>
        <v>1</v>
      </c>
    </row>
    <row r="25" spans="2:29">
      <c r="J25" s="3"/>
      <c r="K25" s="3"/>
      <c r="L25" s="3"/>
      <c r="M25" s="3"/>
      <c r="N25" s="3"/>
      <c r="O25" s="3"/>
      <c r="Q25" s="3"/>
      <c r="R25" s="3"/>
      <c r="S25" s="3"/>
    </row>
    <row r="26" spans="2:29"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2:29" s="3" customFormat="1" ht="30" customHeight="1">
      <c r="B27" s="1150" t="s">
        <v>90</v>
      </c>
      <c r="C27" s="1151">
        <v>2016</v>
      </c>
      <c r="D27" s="1151">
        <v>2017</v>
      </c>
      <c r="E27" s="1151">
        <v>2018</v>
      </c>
      <c r="F27" s="1151">
        <v>2019</v>
      </c>
      <c r="G27" s="1154">
        <v>2020</v>
      </c>
      <c r="H27" s="1157">
        <v>2021</v>
      </c>
      <c r="I27" s="1155" t="s">
        <v>393</v>
      </c>
    </row>
    <row r="28" spans="2:29" s="3" customFormat="1" ht="24" customHeight="1">
      <c r="B28" s="956" t="s">
        <v>18</v>
      </c>
      <c r="C28" s="959">
        <v>6419</v>
      </c>
      <c r="D28" s="959">
        <v>5883</v>
      </c>
      <c r="E28" s="959">
        <v>5795</v>
      </c>
      <c r="F28" s="959">
        <v>5972</v>
      </c>
      <c r="G28" s="951">
        <v>4700</v>
      </c>
      <c r="H28" s="951">
        <f>+N6</f>
        <v>3575</v>
      </c>
      <c r="I28" s="951">
        <f t="shared" ref="I28:I33" si="11">AVERAGE(C28:H28)</f>
        <v>5390.666666666667</v>
      </c>
    </row>
    <row r="29" spans="2:29" s="3" customFormat="1" ht="24" customHeight="1">
      <c r="B29" s="957" t="s">
        <v>19</v>
      </c>
      <c r="C29" s="960">
        <v>42597</v>
      </c>
      <c r="D29" s="960">
        <v>40454</v>
      </c>
      <c r="E29" s="960">
        <v>40469</v>
      </c>
      <c r="F29" s="960">
        <v>41165</v>
      </c>
      <c r="G29" s="954">
        <v>32287</v>
      </c>
      <c r="H29" s="954">
        <f>+N10</f>
        <v>31714</v>
      </c>
      <c r="I29" s="954">
        <f t="shared" si="11"/>
        <v>38114.333333333336</v>
      </c>
    </row>
    <row r="30" spans="2:29" s="3" customFormat="1" ht="24" customHeight="1">
      <c r="B30" s="955" t="s">
        <v>795</v>
      </c>
      <c r="C30" s="962">
        <v>65651</v>
      </c>
      <c r="D30" s="962">
        <v>64439</v>
      </c>
      <c r="E30" s="962">
        <v>67882</v>
      </c>
      <c r="F30" s="962">
        <v>72078</v>
      </c>
      <c r="G30" s="952">
        <v>55849</v>
      </c>
      <c r="H30" s="952">
        <f>+N16</f>
        <v>58163</v>
      </c>
      <c r="I30" s="952">
        <f t="shared" si="11"/>
        <v>64010.333333333336</v>
      </c>
    </row>
    <row r="31" spans="2:29" s="3" customFormat="1" ht="24" customHeight="1">
      <c r="B31" s="957" t="s">
        <v>796</v>
      </c>
      <c r="C31" s="961">
        <v>3623</v>
      </c>
      <c r="D31" s="961">
        <v>3706</v>
      </c>
      <c r="E31" s="961">
        <v>4077</v>
      </c>
      <c r="F31" s="961">
        <v>4255</v>
      </c>
      <c r="G31" s="954">
        <v>3187</v>
      </c>
      <c r="H31" s="954">
        <f>+N21</f>
        <v>3205</v>
      </c>
      <c r="I31" s="954">
        <f t="shared" si="11"/>
        <v>3675.5</v>
      </c>
    </row>
    <row r="32" spans="2:29" s="3" customFormat="1" ht="24" customHeight="1">
      <c r="B32" s="958" t="s">
        <v>125</v>
      </c>
      <c r="C32" s="963">
        <v>242</v>
      </c>
      <c r="D32" s="963">
        <v>268</v>
      </c>
      <c r="E32" s="963">
        <v>290</v>
      </c>
      <c r="F32" s="963">
        <v>332</v>
      </c>
      <c r="G32" s="953">
        <v>262</v>
      </c>
      <c r="H32" s="953">
        <f>+N23</f>
        <v>256</v>
      </c>
      <c r="I32" s="953">
        <f t="shared" si="11"/>
        <v>275</v>
      </c>
    </row>
    <row r="33" spans="2:22" s="3" customFormat="1" ht="33" customHeight="1">
      <c r="B33" s="1152" t="s">
        <v>20</v>
      </c>
      <c r="C33" s="1153">
        <f t="shared" ref="C33:H33" si="12">SUM(C28:C32)</f>
        <v>118532</v>
      </c>
      <c r="D33" s="1153">
        <f t="shared" si="12"/>
        <v>114750</v>
      </c>
      <c r="E33" s="1153">
        <f t="shared" si="12"/>
        <v>118513</v>
      </c>
      <c r="F33" s="1153">
        <f t="shared" si="12"/>
        <v>123802</v>
      </c>
      <c r="G33" s="1153">
        <f t="shared" si="12"/>
        <v>96285</v>
      </c>
      <c r="H33" s="1158">
        <f t="shared" si="12"/>
        <v>96913</v>
      </c>
      <c r="I33" s="1156">
        <f t="shared" si="11"/>
        <v>111465.83333333333</v>
      </c>
    </row>
    <row r="34" spans="2:22"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2">
      <c r="J35" s="3"/>
      <c r="K35" s="3"/>
      <c r="L35" s="3"/>
      <c r="M35" s="3"/>
      <c r="N35" s="3"/>
      <c r="O35" s="3"/>
      <c r="Q35" s="3"/>
      <c r="R35" s="3"/>
      <c r="S35" s="3"/>
      <c r="T35" s="3"/>
      <c r="U35" s="3"/>
      <c r="V35" s="3"/>
    </row>
    <row r="36" spans="2:22">
      <c r="H36" s="3"/>
      <c r="J36" s="3"/>
      <c r="K36" s="3"/>
      <c r="L36" s="3"/>
      <c r="M36" s="3"/>
      <c r="N36" s="3"/>
      <c r="O36" s="3"/>
      <c r="Q36" s="3"/>
      <c r="R36" s="3"/>
      <c r="S36" s="3"/>
      <c r="T36" s="3"/>
      <c r="U36" s="3"/>
      <c r="V36" s="3"/>
    </row>
    <row r="37" spans="2:22" ht="18">
      <c r="C37" s="1255">
        <v>5390.666666666667</v>
      </c>
      <c r="D37" s="1256">
        <v>38114.333333333336</v>
      </c>
      <c r="E37" s="1256">
        <v>64010.333333333336</v>
      </c>
      <c r="F37" s="1256">
        <v>3676</v>
      </c>
      <c r="G37" s="1257">
        <v>275</v>
      </c>
      <c r="H37" s="3"/>
      <c r="J37" s="3"/>
      <c r="K37" s="3"/>
      <c r="L37" s="3"/>
      <c r="M37" s="3"/>
      <c r="N37" s="3"/>
      <c r="O37" s="3"/>
      <c r="Q37" s="3"/>
      <c r="R37" s="3"/>
      <c r="S37" s="3"/>
      <c r="T37" s="3"/>
      <c r="U37" s="3"/>
      <c r="V37" s="3"/>
    </row>
    <row r="38" spans="2:22" ht="18">
      <c r="C38" s="1258">
        <v>4.836160557420436E-2</v>
      </c>
      <c r="D38" s="1259">
        <v>0.34193736496235771</v>
      </c>
      <c r="E38" s="1259">
        <v>0.57425967598441974</v>
      </c>
      <c r="F38" s="1259">
        <v>3.297871545092293E-2</v>
      </c>
      <c r="G38" s="1260">
        <v>2.4671237075636035E-3</v>
      </c>
      <c r="H38" s="3"/>
      <c r="J38" s="3"/>
      <c r="K38" s="3"/>
      <c r="L38" s="3"/>
      <c r="M38" s="3"/>
      <c r="N38" s="3"/>
      <c r="O38" s="3"/>
      <c r="Q38" s="3"/>
      <c r="R38" s="3"/>
      <c r="S38" s="3"/>
      <c r="T38" s="3"/>
      <c r="U38" s="3"/>
      <c r="V38" s="3"/>
    </row>
    <row r="39" spans="2:22">
      <c r="H39" s="3"/>
      <c r="Q39" s="3"/>
      <c r="R39" s="3"/>
      <c r="S39" s="3"/>
      <c r="T39" s="3"/>
      <c r="U39" s="3"/>
      <c r="V39" s="3"/>
    </row>
    <row r="40" spans="2:22">
      <c r="H40" s="690"/>
    </row>
    <row r="117" spans="8:29">
      <c r="H117" s="121">
        <f>SUM(H1:H116)</f>
        <v>485047</v>
      </c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</row>
  </sheetData>
  <mergeCells count="3">
    <mergeCell ref="O4:P4"/>
    <mergeCell ref="B1:C1"/>
    <mergeCell ref="B2:P2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I33"/>
  <sheetViews>
    <sheetView zoomScale="70" zoomScaleNormal="70" workbookViewId="0">
      <selection activeCell="A3" sqref="A3:I18"/>
    </sheetView>
  </sheetViews>
  <sheetFormatPr baseColWidth="10" defaultRowHeight="14.25"/>
  <cols>
    <col min="1" max="1" width="22.5703125" style="218" customWidth="1"/>
    <col min="2" max="9" width="16.28515625" style="218" customWidth="1"/>
    <col min="10" max="16384" width="11.42578125" style="218"/>
  </cols>
  <sheetData>
    <row r="1" spans="1:9" s="1007" customFormat="1" ht="15.75">
      <c r="A1" s="1950" t="s">
        <v>831</v>
      </c>
      <c r="B1" s="1950"/>
      <c r="C1" s="1950"/>
      <c r="D1" s="1950"/>
      <c r="E1" s="1950"/>
      <c r="F1" s="1950"/>
      <c r="G1" s="1950"/>
      <c r="H1" s="1950"/>
      <c r="I1" s="1950"/>
    </row>
    <row r="2" spans="1:9" s="1007" customFormat="1" ht="15.75" thickBot="1"/>
    <row r="3" spans="1:9" s="1007" customFormat="1" ht="21.75" customHeight="1">
      <c r="A3" s="1964" t="s">
        <v>32</v>
      </c>
      <c r="B3" s="1966" t="s">
        <v>832</v>
      </c>
      <c r="C3" s="1966"/>
      <c r="D3" s="1966"/>
      <c r="E3" s="1966"/>
      <c r="F3" s="1966"/>
      <c r="G3" s="1933" t="s">
        <v>833</v>
      </c>
      <c r="H3" s="1934"/>
      <c r="I3" s="1967"/>
    </row>
    <row r="4" spans="1:9" s="219" customFormat="1" ht="33.75" customHeight="1" thickBot="1">
      <c r="A4" s="1965"/>
      <c r="B4" s="1267" t="s">
        <v>917</v>
      </c>
      <c r="C4" s="1267" t="s">
        <v>915</v>
      </c>
      <c r="D4" s="1267" t="s">
        <v>916</v>
      </c>
      <c r="E4" s="1267" t="s">
        <v>918</v>
      </c>
      <c r="F4" s="1267" t="s">
        <v>43</v>
      </c>
      <c r="G4" s="1267" t="s">
        <v>827</v>
      </c>
      <c r="H4" s="1267" t="s">
        <v>828</v>
      </c>
      <c r="I4" s="1506" t="s">
        <v>829</v>
      </c>
    </row>
    <row r="5" spans="1:9" s="219" customFormat="1" ht="15" customHeight="1">
      <c r="A5" s="1507" t="s">
        <v>247</v>
      </c>
      <c r="B5" s="1508">
        <v>214</v>
      </c>
      <c r="C5" s="1508">
        <v>14</v>
      </c>
      <c r="D5" s="1508">
        <v>7</v>
      </c>
      <c r="E5" s="1508">
        <v>578</v>
      </c>
      <c r="F5" s="1508">
        <v>48</v>
      </c>
      <c r="G5" s="1508">
        <v>14</v>
      </c>
      <c r="H5" s="1508">
        <v>92</v>
      </c>
      <c r="I5" s="1509">
        <f>SUM(B5:H5)</f>
        <v>967</v>
      </c>
    </row>
    <row r="6" spans="1:9" s="219" customFormat="1" ht="15" customHeight="1">
      <c r="A6" s="1510" t="s">
        <v>12</v>
      </c>
      <c r="B6" s="1511">
        <v>212</v>
      </c>
      <c r="C6" s="1511">
        <v>14</v>
      </c>
      <c r="D6" s="1511">
        <v>7</v>
      </c>
      <c r="E6" s="1511">
        <v>591</v>
      </c>
      <c r="F6" s="1511">
        <v>46</v>
      </c>
      <c r="G6" s="1511">
        <v>15</v>
      </c>
      <c r="H6" s="1511">
        <v>93</v>
      </c>
      <c r="I6" s="1512">
        <f t="shared" ref="I6:I16" si="0">SUM(B6:H6)</f>
        <v>978</v>
      </c>
    </row>
    <row r="7" spans="1:9" s="219" customFormat="1" ht="15" customHeight="1">
      <c r="A7" s="1507" t="s">
        <v>13</v>
      </c>
      <c r="B7" s="1508">
        <v>210</v>
      </c>
      <c r="C7" s="1508">
        <v>14</v>
      </c>
      <c r="D7" s="1508">
        <v>7</v>
      </c>
      <c r="E7" s="1508">
        <v>596</v>
      </c>
      <c r="F7" s="1508">
        <v>46</v>
      </c>
      <c r="G7" s="1508">
        <v>15</v>
      </c>
      <c r="H7" s="1508">
        <v>92</v>
      </c>
      <c r="I7" s="1509">
        <f t="shared" si="0"/>
        <v>980</v>
      </c>
    </row>
    <row r="8" spans="1:9" s="219" customFormat="1" ht="15" customHeight="1">
      <c r="A8" s="1510" t="s">
        <v>53</v>
      </c>
      <c r="B8" s="1511">
        <v>210</v>
      </c>
      <c r="C8" s="1511">
        <v>14</v>
      </c>
      <c r="D8" s="1511">
        <v>7</v>
      </c>
      <c r="E8" s="1511">
        <v>601</v>
      </c>
      <c r="F8" s="1511">
        <v>44</v>
      </c>
      <c r="G8" s="1511">
        <v>14</v>
      </c>
      <c r="H8" s="1511">
        <v>91</v>
      </c>
      <c r="I8" s="1512">
        <f t="shared" si="0"/>
        <v>981</v>
      </c>
    </row>
    <row r="9" spans="1:9" s="219" customFormat="1" ht="15" customHeight="1">
      <c r="A9" s="1507" t="s">
        <v>243</v>
      </c>
      <c r="B9" s="1508">
        <v>212</v>
      </c>
      <c r="C9" s="1508">
        <v>13</v>
      </c>
      <c r="D9" s="1508">
        <v>7</v>
      </c>
      <c r="E9" s="1508">
        <v>596</v>
      </c>
      <c r="F9" s="1508">
        <v>43</v>
      </c>
      <c r="G9" s="1508">
        <v>13</v>
      </c>
      <c r="H9" s="1508">
        <v>91</v>
      </c>
      <c r="I9" s="1509">
        <f t="shared" si="0"/>
        <v>975</v>
      </c>
    </row>
    <row r="10" spans="1:9" s="219" customFormat="1" ht="15" customHeight="1">
      <c r="A10" s="1510" t="s">
        <v>54</v>
      </c>
      <c r="B10" s="1511">
        <v>210</v>
      </c>
      <c r="C10" s="1511">
        <v>12</v>
      </c>
      <c r="D10" s="1511">
        <v>6</v>
      </c>
      <c r="E10" s="1511">
        <v>599</v>
      </c>
      <c r="F10" s="1511">
        <v>44</v>
      </c>
      <c r="G10" s="1511">
        <v>13</v>
      </c>
      <c r="H10" s="1511">
        <v>89</v>
      </c>
      <c r="I10" s="1512">
        <f t="shared" si="0"/>
        <v>973</v>
      </c>
    </row>
    <row r="11" spans="1:9" s="219" customFormat="1" ht="15" customHeight="1">
      <c r="A11" s="1507" t="s">
        <v>56</v>
      </c>
      <c r="B11" s="1508">
        <v>211</v>
      </c>
      <c r="C11" s="1508">
        <v>12</v>
      </c>
      <c r="D11" s="1508">
        <v>6</v>
      </c>
      <c r="E11" s="1508">
        <v>604</v>
      </c>
      <c r="F11" s="1508">
        <v>50</v>
      </c>
      <c r="G11" s="1508">
        <v>13</v>
      </c>
      <c r="H11" s="1508">
        <v>89</v>
      </c>
      <c r="I11" s="1509">
        <f t="shared" si="0"/>
        <v>985</v>
      </c>
    </row>
    <row r="12" spans="1:9" s="219" customFormat="1" ht="15" customHeight="1">
      <c r="A12" s="1510" t="s">
        <v>68</v>
      </c>
      <c r="B12" s="1511">
        <v>206</v>
      </c>
      <c r="C12" s="1511">
        <v>12</v>
      </c>
      <c r="D12" s="1511">
        <v>6</v>
      </c>
      <c r="E12" s="1511">
        <v>602</v>
      </c>
      <c r="F12" s="1511">
        <v>47</v>
      </c>
      <c r="G12" s="1511">
        <v>13</v>
      </c>
      <c r="H12" s="1511">
        <v>90</v>
      </c>
      <c r="I12" s="1512">
        <f t="shared" si="0"/>
        <v>976</v>
      </c>
    </row>
    <row r="13" spans="1:9" s="219" customFormat="1" ht="15" customHeight="1">
      <c r="A13" s="1507" t="s">
        <v>69</v>
      </c>
      <c r="B13" s="1508">
        <v>208</v>
      </c>
      <c r="C13" s="1508">
        <v>12</v>
      </c>
      <c r="D13" s="1508">
        <v>6</v>
      </c>
      <c r="E13" s="1508">
        <v>597</v>
      </c>
      <c r="F13" s="1508">
        <v>46</v>
      </c>
      <c r="G13" s="1508">
        <v>13</v>
      </c>
      <c r="H13" s="1508">
        <v>88</v>
      </c>
      <c r="I13" s="1509">
        <f t="shared" si="0"/>
        <v>970</v>
      </c>
    </row>
    <row r="14" spans="1:9" s="219" customFormat="1" ht="15" customHeight="1">
      <c r="A14" s="1510" t="s">
        <v>248</v>
      </c>
      <c r="B14" s="1511">
        <v>209</v>
      </c>
      <c r="C14" s="1511">
        <v>12</v>
      </c>
      <c r="D14" s="1511">
        <v>5</v>
      </c>
      <c r="E14" s="1511">
        <v>590</v>
      </c>
      <c r="F14" s="1511">
        <v>44</v>
      </c>
      <c r="G14" s="1511">
        <v>12</v>
      </c>
      <c r="H14" s="1511">
        <v>87</v>
      </c>
      <c r="I14" s="1512">
        <f t="shared" si="0"/>
        <v>959</v>
      </c>
    </row>
    <row r="15" spans="1:9" s="219" customFormat="1" ht="15" customHeight="1">
      <c r="A15" s="1507" t="s">
        <v>244</v>
      </c>
      <c r="B15" s="1508">
        <v>208</v>
      </c>
      <c r="C15" s="1508">
        <v>12</v>
      </c>
      <c r="D15" s="1508">
        <v>5</v>
      </c>
      <c r="E15" s="1508">
        <v>592</v>
      </c>
      <c r="F15" s="1508">
        <v>41</v>
      </c>
      <c r="G15" s="1508">
        <v>12</v>
      </c>
      <c r="H15" s="1508">
        <v>86</v>
      </c>
      <c r="I15" s="1509">
        <f t="shared" si="0"/>
        <v>956</v>
      </c>
    </row>
    <row r="16" spans="1:9" s="219" customFormat="1" ht="15" customHeight="1">
      <c r="A16" s="1513" t="s">
        <v>249</v>
      </c>
      <c r="B16" s="1511">
        <v>206</v>
      </c>
      <c r="C16" s="1511">
        <v>12</v>
      </c>
      <c r="D16" s="1511">
        <v>5</v>
      </c>
      <c r="E16" s="1511">
        <v>596</v>
      </c>
      <c r="F16" s="1511">
        <v>46</v>
      </c>
      <c r="G16" s="1511">
        <v>12</v>
      </c>
      <c r="H16" s="1511">
        <v>845</v>
      </c>
      <c r="I16" s="1512">
        <f t="shared" si="0"/>
        <v>1722</v>
      </c>
    </row>
    <row r="17" spans="1:9" s="219" customFormat="1" ht="24.75" customHeight="1">
      <c r="A17" s="1968" t="s">
        <v>250</v>
      </c>
      <c r="B17" s="1514">
        <f>AVERAGE(B5:B16)</f>
        <v>209.66666666666666</v>
      </c>
      <c r="C17" s="1514">
        <f t="shared" ref="C17:I17" si="1">AVERAGE(C5:C16)</f>
        <v>12.75</v>
      </c>
      <c r="D17" s="1514">
        <f t="shared" si="1"/>
        <v>6.166666666666667</v>
      </c>
      <c r="E17" s="1514">
        <f t="shared" si="1"/>
        <v>595.16666666666663</v>
      </c>
      <c r="F17" s="1514">
        <f t="shared" si="1"/>
        <v>45.416666666666664</v>
      </c>
      <c r="G17" s="1514">
        <f t="shared" si="1"/>
        <v>13.25</v>
      </c>
      <c r="H17" s="1514">
        <f t="shared" si="1"/>
        <v>152.75</v>
      </c>
      <c r="I17" s="1515">
        <f t="shared" si="1"/>
        <v>1035.1666666666667</v>
      </c>
    </row>
    <row r="18" spans="1:9" s="219" customFormat="1" ht="24.75" customHeight="1" thickBot="1">
      <c r="A18" s="1969"/>
      <c r="B18" s="1516">
        <f>+B17/$I$17</f>
        <v>0.20254387377233937</v>
      </c>
      <c r="C18" s="1516">
        <f t="shared" ref="C18:I18" si="2">+C17/$I$17</f>
        <v>1.2316857188858476E-2</v>
      </c>
      <c r="D18" s="1516">
        <f t="shared" si="2"/>
        <v>5.9571727580099822E-3</v>
      </c>
      <c r="E18" s="1516">
        <f t="shared" si="2"/>
        <v>0.57494767348253095</v>
      </c>
      <c r="F18" s="1516">
        <f t="shared" si="2"/>
        <v>4.3873772339397835E-2</v>
      </c>
      <c r="G18" s="1516">
        <f t="shared" si="2"/>
        <v>1.2799871196264691E-2</v>
      </c>
      <c r="H18" s="1516">
        <f t="shared" si="2"/>
        <v>0.14756077926259861</v>
      </c>
      <c r="I18" s="1517">
        <f t="shared" si="2"/>
        <v>1</v>
      </c>
    </row>
    <row r="20" spans="1:9">
      <c r="A20" s="218" t="s">
        <v>830</v>
      </c>
    </row>
    <row r="21" spans="1:9" s="219" customFormat="1" ht="46.5" customHeight="1" thickBot="1">
      <c r="A21" s="1267" t="s">
        <v>233</v>
      </c>
      <c r="B21" s="1267">
        <v>2017</v>
      </c>
      <c r="C21" s="1267">
        <v>2018</v>
      </c>
      <c r="D21" s="1267">
        <v>2019</v>
      </c>
      <c r="E21" s="1267">
        <v>2020</v>
      </c>
      <c r="F21" s="1267">
        <v>2021</v>
      </c>
      <c r="G21" s="1267" t="s">
        <v>822</v>
      </c>
      <c r="H21" s="1267" t="s">
        <v>148</v>
      </c>
    </row>
    <row r="22" spans="1:9" s="219" customFormat="1" ht="25.5" customHeight="1">
      <c r="A22" s="1268" t="s">
        <v>823</v>
      </c>
      <c r="B22" s="1269">
        <v>323</v>
      </c>
      <c r="C22" s="1269">
        <v>297</v>
      </c>
      <c r="D22" s="1269">
        <v>275</v>
      </c>
      <c r="E22" s="1269">
        <v>219</v>
      </c>
      <c r="F22" s="1269">
        <v>206</v>
      </c>
      <c r="G22" s="1269">
        <f>AVERAGE(B22:F22)</f>
        <v>264</v>
      </c>
      <c r="H22" s="1270">
        <f>+G22/$G$29</f>
        <v>0.23141654978962134</v>
      </c>
    </row>
    <row r="23" spans="1:9" s="219" customFormat="1" ht="25.5" customHeight="1">
      <c r="A23" s="1271" t="s">
        <v>824</v>
      </c>
      <c r="B23" s="1272">
        <v>11</v>
      </c>
      <c r="C23" s="1272">
        <v>13</v>
      </c>
      <c r="D23" s="1272">
        <v>17</v>
      </c>
      <c r="E23" s="1272">
        <v>14</v>
      </c>
      <c r="F23" s="1272">
        <v>12</v>
      </c>
      <c r="G23" s="1272">
        <f t="shared" ref="G23:G28" si="3">AVERAGE(B23:F23)</f>
        <v>13.4</v>
      </c>
      <c r="H23" s="1273">
        <f t="shared" ref="H23:H28" si="4">+G23/$G$29</f>
        <v>1.1746143057503508E-2</v>
      </c>
    </row>
    <row r="24" spans="1:9" s="219" customFormat="1" ht="25.5" customHeight="1">
      <c r="A24" s="1268" t="s">
        <v>825</v>
      </c>
      <c r="B24" s="1269">
        <v>7</v>
      </c>
      <c r="C24" s="1269">
        <v>8</v>
      </c>
      <c r="D24" s="1269">
        <v>9</v>
      </c>
      <c r="E24" s="1269">
        <v>7</v>
      </c>
      <c r="F24" s="1269">
        <v>5</v>
      </c>
      <c r="G24" s="1269">
        <f t="shared" si="3"/>
        <v>7.2</v>
      </c>
      <c r="H24" s="1270">
        <f t="shared" si="4"/>
        <v>6.3113604488078548E-3</v>
      </c>
    </row>
    <row r="25" spans="1:9" s="219" customFormat="1" ht="25.5" customHeight="1">
      <c r="A25" s="1271" t="s">
        <v>826</v>
      </c>
      <c r="B25" s="1272">
        <v>800</v>
      </c>
      <c r="C25" s="1272">
        <v>727</v>
      </c>
      <c r="D25" s="1272">
        <v>684</v>
      </c>
      <c r="E25" s="1272">
        <v>593</v>
      </c>
      <c r="F25" s="1272">
        <v>596</v>
      </c>
      <c r="G25" s="1272">
        <f t="shared" si="3"/>
        <v>680</v>
      </c>
      <c r="H25" s="1273">
        <f t="shared" si="4"/>
        <v>0.59607293127629735</v>
      </c>
    </row>
    <row r="26" spans="1:9" s="219" customFormat="1" ht="25.5" customHeight="1">
      <c r="A26" s="1274" t="s">
        <v>43</v>
      </c>
      <c r="B26" s="1269">
        <v>42</v>
      </c>
      <c r="C26" s="1269">
        <v>45</v>
      </c>
      <c r="D26" s="1269">
        <v>47</v>
      </c>
      <c r="E26" s="1269">
        <v>47</v>
      </c>
      <c r="F26" s="1269">
        <v>46</v>
      </c>
      <c r="G26" s="1269">
        <f t="shared" si="3"/>
        <v>45.4</v>
      </c>
      <c r="H26" s="1270">
        <f t="shared" si="4"/>
        <v>3.9796633941093972E-2</v>
      </c>
    </row>
    <row r="27" spans="1:9" s="219" customFormat="1" ht="25.5" customHeight="1">
      <c r="A27" s="1271" t="s">
        <v>827</v>
      </c>
      <c r="B27" s="1272">
        <v>22</v>
      </c>
      <c r="C27" s="1272">
        <v>19</v>
      </c>
      <c r="D27" s="1272">
        <v>20</v>
      </c>
      <c r="E27" s="1272">
        <v>15</v>
      </c>
      <c r="F27" s="1272">
        <v>12</v>
      </c>
      <c r="G27" s="1272">
        <f t="shared" si="3"/>
        <v>17.600000000000001</v>
      </c>
      <c r="H27" s="1273">
        <f t="shared" si="4"/>
        <v>1.5427769985974756E-2</v>
      </c>
    </row>
    <row r="28" spans="1:9" s="219" customFormat="1" ht="25.5" customHeight="1">
      <c r="A28" s="1274" t="s">
        <v>828</v>
      </c>
      <c r="B28" s="1269">
        <v>135</v>
      </c>
      <c r="C28" s="1269">
        <v>137</v>
      </c>
      <c r="D28" s="1269">
        <v>118</v>
      </c>
      <c r="E28" s="1269">
        <v>92</v>
      </c>
      <c r="F28" s="1269">
        <v>84</v>
      </c>
      <c r="G28" s="1269">
        <f t="shared" si="3"/>
        <v>113.2</v>
      </c>
      <c r="H28" s="1270">
        <f t="shared" si="4"/>
        <v>9.9228611500701266E-2</v>
      </c>
    </row>
    <row r="29" spans="1:9" s="219" customFormat="1" ht="19.5" customHeight="1">
      <c r="A29" s="1275" t="s">
        <v>829</v>
      </c>
      <c r="B29" s="1276">
        <f t="shared" ref="B29:H29" si="5">SUM(B22:B28)</f>
        <v>1340</v>
      </c>
      <c r="C29" s="1276">
        <f t="shared" si="5"/>
        <v>1246</v>
      </c>
      <c r="D29" s="1276">
        <f t="shared" si="5"/>
        <v>1170</v>
      </c>
      <c r="E29" s="1276">
        <f t="shared" si="5"/>
        <v>987</v>
      </c>
      <c r="F29" s="1276">
        <f t="shared" si="5"/>
        <v>961</v>
      </c>
      <c r="G29" s="1276">
        <f t="shared" si="5"/>
        <v>1140.8</v>
      </c>
      <c r="H29" s="1277">
        <f t="shared" si="5"/>
        <v>1</v>
      </c>
    </row>
    <row r="31" spans="1:9">
      <c r="B31" s="621"/>
      <c r="C31" s="621"/>
      <c r="D31" s="621"/>
      <c r="E31" s="621"/>
      <c r="F31" s="621"/>
      <c r="G31" s="621"/>
      <c r="H31" s="621"/>
    </row>
    <row r="32" spans="1:9" ht="15">
      <c r="B32" s="1278">
        <f>+G22</f>
        <v>264</v>
      </c>
      <c r="C32" s="1279">
        <f>+G23</f>
        <v>13.4</v>
      </c>
      <c r="D32" s="1279">
        <f>+G24</f>
        <v>7.2</v>
      </c>
      <c r="E32" s="1279">
        <f>+G25</f>
        <v>680</v>
      </c>
      <c r="F32" s="1279">
        <f>+G26</f>
        <v>45.4</v>
      </c>
      <c r="G32" s="1279">
        <f>+G27</f>
        <v>17.600000000000001</v>
      </c>
      <c r="H32" s="1280">
        <f>+G28</f>
        <v>113.2</v>
      </c>
    </row>
    <row r="33" spans="2:8" ht="15">
      <c r="B33" s="1281">
        <f>+H22</f>
        <v>0.23141654978962134</v>
      </c>
      <c r="C33" s="1282">
        <f>+H23</f>
        <v>1.1746143057503508E-2</v>
      </c>
      <c r="D33" s="1282">
        <f>+H24</f>
        <v>6.3113604488078548E-3</v>
      </c>
      <c r="E33" s="1282">
        <f>+H25</f>
        <v>0.59607293127629735</v>
      </c>
      <c r="F33" s="1282">
        <f>+H26</f>
        <v>3.9796633941093972E-2</v>
      </c>
      <c r="G33" s="1282">
        <f>+H27</f>
        <v>1.5427769985974756E-2</v>
      </c>
      <c r="H33" s="1283">
        <f>+H28</f>
        <v>9.9228611500701266E-2</v>
      </c>
    </row>
  </sheetData>
  <mergeCells count="5">
    <mergeCell ref="A1:I1"/>
    <mergeCell ref="A3:A4"/>
    <mergeCell ref="B3:F3"/>
    <mergeCell ref="G3:I3"/>
    <mergeCell ref="A17:A1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009900"/>
  </sheetPr>
  <dimension ref="A1:Q41"/>
  <sheetViews>
    <sheetView showGridLines="0" zoomScale="50" zoomScaleNormal="50" workbookViewId="0">
      <selection activeCell="A2" sqref="A2:J16"/>
    </sheetView>
  </sheetViews>
  <sheetFormatPr baseColWidth="10" defaultRowHeight="15"/>
  <cols>
    <col min="1" max="1" width="31.28515625" customWidth="1"/>
    <col min="2" max="2" width="21" customWidth="1"/>
    <col min="3" max="3" width="23.28515625" customWidth="1"/>
    <col min="4" max="7" width="21" customWidth="1"/>
    <col min="8" max="8" width="22.140625" customWidth="1"/>
    <col min="9" max="10" width="21" customWidth="1"/>
    <col min="11" max="15" width="18.42578125" customWidth="1"/>
    <col min="16" max="16" width="10.28515625" customWidth="1"/>
    <col min="17" max="17" width="12.140625" customWidth="1"/>
    <col min="19" max="19" width="14" customWidth="1"/>
    <col min="20" max="20" width="15" customWidth="1"/>
    <col min="21" max="21" width="17.85546875" customWidth="1"/>
  </cols>
  <sheetData>
    <row r="1" spans="1:17" ht="34.5" customHeight="1" thickBot="1">
      <c r="A1" s="1970" t="s">
        <v>834</v>
      </c>
      <c r="B1" s="1970"/>
      <c r="C1" s="1970"/>
      <c r="D1" s="1970"/>
      <c r="E1" s="1970"/>
      <c r="F1" s="1970"/>
      <c r="G1" s="1970"/>
      <c r="H1" s="1970"/>
      <c r="I1" s="1970"/>
      <c r="J1" s="1970"/>
    </row>
    <row r="2" spans="1:17" s="157" customFormat="1" ht="48" customHeight="1">
      <c r="A2" s="988" t="s">
        <v>312</v>
      </c>
      <c r="B2" s="989" t="s">
        <v>677</v>
      </c>
      <c r="C2" s="989" t="s">
        <v>319</v>
      </c>
      <c r="D2" s="989" t="s">
        <v>42</v>
      </c>
      <c r="E2" s="989" t="s">
        <v>616</v>
      </c>
      <c r="F2" s="989" t="s">
        <v>237</v>
      </c>
      <c r="G2" s="989" t="s">
        <v>313</v>
      </c>
      <c r="H2" s="989" t="s">
        <v>615</v>
      </c>
      <c r="I2" s="989" t="s">
        <v>679</v>
      </c>
      <c r="J2" s="990" t="s">
        <v>6</v>
      </c>
    </row>
    <row r="3" spans="1:17" s="157" customFormat="1" ht="24" customHeight="1">
      <c r="A3" s="981" t="s">
        <v>247</v>
      </c>
      <c r="B3" s="1518">
        <v>655</v>
      </c>
      <c r="C3" s="1518">
        <v>2369</v>
      </c>
      <c r="D3" s="1518">
        <v>1275</v>
      </c>
      <c r="E3" s="1518">
        <v>1368</v>
      </c>
      <c r="F3" s="1518">
        <v>11</v>
      </c>
      <c r="G3" s="1518">
        <v>48</v>
      </c>
      <c r="H3" s="1518">
        <v>660</v>
      </c>
      <c r="I3" s="1518">
        <v>1751</v>
      </c>
      <c r="J3" s="1519">
        <f t="shared" ref="J3:J14" si="0">SUM(B3:I3)</f>
        <v>8137</v>
      </c>
    </row>
    <row r="4" spans="1:17" s="157" customFormat="1" ht="24" customHeight="1">
      <c r="A4" s="983" t="s">
        <v>12</v>
      </c>
      <c r="B4" s="1520">
        <v>653</v>
      </c>
      <c r="C4" s="1520">
        <v>2353</v>
      </c>
      <c r="D4" s="1520">
        <v>1325</v>
      </c>
      <c r="E4" s="1520">
        <v>1348</v>
      </c>
      <c r="F4" s="1520">
        <v>12</v>
      </c>
      <c r="G4" s="1520">
        <v>46</v>
      </c>
      <c r="H4" s="1520">
        <v>649</v>
      </c>
      <c r="I4" s="1520">
        <v>1838</v>
      </c>
      <c r="J4" s="1521">
        <f t="shared" si="0"/>
        <v>8224</v>
      </c>
      <c r="L4" s="161"/>
    </row>
    <row r="5" spans="1:17" s="157" customFormat="1" ht="24" customHeight="1">
      <c r="A5" s="981" t="s">
        <v>13</v>
      </c>
      <c r="B5" s="1518">
        <v>644</v>
      </c>
      <c r="C5" s="1518">
        <v>2328</v>
      </c>
      <c r="D5" s="1518">
        <v>1386</v>
      </c>
      <c r="E5" s="1518">
        <v>1331</v>
      </c>
      <c r="F5" s="1518">
        <v>12</v>
      </c>
      <c r="G5" s="1518">
        <v>46</v>
      </c>
      <c r="H5" s="1518">
        <v>638</v>
      </c>
      <c r="I5" s="1518">
        <v>1955</v>
      </c>
      <c r="J5" s="1519">
        <f t="shared" si="0"/>
        <v>8340</v>
      </c>
      <c r="L5" s="161"/>
    </row>
    <row r="6" spans="1:17" s="157" customFormat="1" ht="24" customHeight="1">
      <c r="A6" s="983" t="s">
        <v>53</v>
      </c>
      <c r="B6" s="1520">
        <v>634</v>
      </c>
      <c r="C6" s="1520">
        <v>2311</v>
      </c>
      <c r="D6" s="1520">
        <v>1441</v>
      </c>
      <c r="E6" s="1520">
        <v>1314</v>
      </c>
      <c r="F6" s="1520">
        <v>12</v>
      </c>
      <c r="G6" s="1520">
        <v>46</v>
      </c>
      <c r="H6" s="1520">
        <v>625</v>
      </c>
      <c r="I6" s="1520">
        <v>1964</v>
      </c>
      <c r="J6" s="1521">
        <f t="shared" si="0"/>
        <v>8347</v>
      </c>
      <c r="L6" s="161"/>
      <c r="M6" s="611"/>
      <c r="O6" s="698"/>
      <c r="Q6" s="698"/>
    </row>
    <row r="7" spans="1:17" s="157" customFormat="1" ht="24" customHeight="1">
      <c r="A7" s="981" t="s">
        <v>243</v>
      </c>
      <c r="B7" s="1518">
        <v>625</v>
      </c>
      <c r="C7" s="1518">
        <v>2291</v>
      </c>
      <c r="D7" s="1518">
        <v>1469</v>
      </c>
      <c r="E7" s="1518">
        <v>1289</v>
      </c>
      <c r="F7" s="1518">
        <v>12</v>
      </c>
      <c r="G7" s="1518">
        <v>43</v>
      </c>
      <c r="H7" s="1518">
        <v>609</v>
      </c>
      <c r="I7" s="1518">
        <v>1949</v>
      </c>
      <c r="J7" s="1519">
        <f t="shared" si="0"/>
        <v>8287</v>
      </c>
      <c r="L7" s="161"/>
      <c r="M7" s="611"/>
      <c r="O7" s="698"/>
      <c r="Q7" s="699"/>
    </row>
    <row r="8" spans="1:17" s="157" customFormat="1" ht="24" customHeight="1">
      <c r="A8" s="983" t="s">
        <v>54</v>
      </c>
      <c r="B8" s="1520">
        <v>616</v>
      </c>
      <c r="C8" s="1520">
        <v>2259</v>
      </c>
      <c r="D8" s="1520">
        <v>1503</v>
      </c>
      <c r="E8" s="1520">
        <v>1271</v>
      </c>
      <c r="F8" s="1520">
        <v>12</v>
      </c>
      <c r="G8" s="1520">
        <v>46</v>
      </c>
      <c r="H8" s="1520">
        <v>592</v>
      </c>
      <c r="I8" s="1520">
        <v>1912</v>
      </c>
      <c r="J8" s="1521">
        <f t="shared" si="0"/>
        <v>8211</v>
      </c>
      <c r="L8" s="161"/>
      <c r="M8" s="162"/>
      <c r="O8" s="698"/>
      <c r="Q8" s="699"/>
    </row>
    <row r="9" spans="1:17" s="157" customFormat="1" ht="24" customHeight="1">
      <c r="A9" s="981" t="s">
        <v>56</v>
      </c>
      <c r="B9" s="1518">
        <v>610</v>
      </c>
      <c r="C9" s="1518">
        <v>2242</v>
      </c>
      <c r="D9" s="1518">
        <v>1562</v>
      </c>
      <c r="E9" s="1518">
        <v>1250</v>
      </c>
      <c r="F9" s="1518">
        <v>12</v>
      </c>
      <c r="G9" s="1518">
        <v>46</v>
      </c>
      <c r="H9" s="1518">
        <v>584</v>
      </c>
      <c r="I9" s="1518">
        <v>1902</v>
      </c>
      <c r="J9" s="1519">
        <f t="shared" si="0"/>
        <v>8208</v>
      </c>
      <c r="L9" s="161"/>
      <c r="M9" s="162"/>
      <c r="O9" s="698"/>
      <c r="Q9" s="698"/>
    </row>
    <row r="10" spans="1:17" s="157" customFormat="1" ht="24" customHeight="1">
      <c r="A10" s="983" t="s">
        <v>68</v>
      </c>
      <c r="B10" s="1520">
        <v>601</v>
      </c>
      <c r="C10" s="1520">
        <v>2213</v>
      </c>
      <c r="D10" s="1520">
        <v>1598</v>
      </c>
      <c r="E10" s="1520">
        <v>1238</v>
      </c>
      <c r="F10" s="1520">
        <v>13</v>
      </c>
      <c r="G10" s="1520">
        <v>50</v>
      </c>
      <c r="H10" s="1520">
        <v>585</v>
      </c>
      <c r="I10" s="1520">
        <v>1751</v>
      </c>
      <c r="J10" s="1521">
        <f t="shared" si="0"/>
        <v>8049</v>
      </c>
      <c r="L10" s="161"/>
    </row>
    <row r="11" spans="1:17" s="157" customFormat="1" ht="24" customHeight="1">
      <c r="A11" s="981" t="s">
        <v>69</v>
      </c>
      <c r="B11" s="1518">
        <v>589</v>
      </c>
      <c r="C11" s="1518">
        <v>2188</v>
      </c>
      <c r="D11" s="1518">
        <v>1647</v>
      </c>
      <c r="E11" s="1518">
        <v>1192</v>
      </c>
      <c r="F11" s="1518">
        <v>12</v>
      </c>
      <c r="G11" s="1518">
        <v>44</v>
      </c>
      <c r="H11" s="1518">
        <v>580</v>
      </c>
      <c r="I11" s="1518">
        <v>2016</v>
      </c>
      <c r="J11" s="1519">
        <f t="shared" si="0"/>
        <v>8268</v>
      </c>
      <c r="L11" s="161"/>
    </row>
    <row r="12" spans="1:17" s="157" customFormat="1" ht="24" customHeight="1">
      <c r="A12" s="983" t="s">
        <v>248</v>
      </c>
      <c r="B12" s="1520">
        <v>573</v>
      </c>
      <c r="C12" s="1520">
        <v>2182</v>
      </c>
      <c r="D12" s="1520">
        <v>1723</v>
      </c>
      <c r="E12" s="1520">
        <v>1172</v>
      </c>
      <c r="F12" s="1520">
        <v>12</v>
      </c>
      <c r="G12" s="1520">
        <v>44</v>
      </c>
      <c r="H12" s="1520">
        <v>575</v>
      </c>
      <c r="I12" s="1520">
        <v>1999</v>
      </c>
      <c r="J12" s="1521">
        <f t="shared" si="0"/>
        <v>8280</v>
      </c>
      <c r="L12" s="161"/>
    </row>
    <row r="13" spans="1:17" s="157" customFormat="1" ht="24" customHeight="1">
      <c r="A13" s="981" t="s">
        <v>244</v>
      </c>
      <c r="B13" s="1518">
        <v>564</v>
      </c>
      <c r="C13" s="1518">
        <v>2154</v>
      </c>
      <c r="D13" s="1518">
        <v>1775</v>
      </c>
      <c r="E13" s="1518">
        <v>1148</v>
      </c>
      <c r="F13" s="1518">
        <v>12</v>
      </c>
      <c r="G13" s="1518">
        <v>42</v>
      </c>
      <c r="H13" s="1518">
        <v>566</v>
      </c>
      <c r="I13" s="1518">
        <v>2001</v>
      </c>
      <c r="J13" s="1519">
        <f t="shared" si="0"/>
        <v>8262</v>
      </c>
      <c r="L13" s="161"/>
    </row>
    <row r="14" spans="1:17" s="157" customFormat="1" ht="24" customHeight="1">
      <c r="A14" s="1534" t="s">
        <v>249</v>
      </c>
      <c r="B14" s="1535">
        <v>554</v>
      </c>
      <c r="C14" s="1535">
        <v>2124</v>
      </c>
      <c r="D14" s="1535">
        <v>1781</v>
      </c>
      <c r="E14" s="1535">
        <v>1126</v>
      </c>
      <c r="F14" s="1535">
        <v>12</v>
      </c>
      <c r="G14" s="1535">
        <v>39</v>
      </c>
      <c r="H14" s="1535">
        <v>565</v>
      </c>
      <c r="I14" s="1535">
        <v>2004</v>
      </c>
      <c r="J14" s="1536">
        <f t="shared" si="0"/>
        <v>8205</v>
      </c>
      <c r="L14" s="161"/>
    </row>
    <row r="15" spans="1:17" s="157" customFormat="1" ht="27.75" customHeight="1">
      <c r="A15" s="985" t="s">
        <v>250</v>
      </c>
      <c r="B15" s="1522">
        <f t="shared" ref="B15:J15" si="1">AVERAGE(B3:B14)</f>
        <v>609.83333333333337</v>
      </c>
      <c r="C15" s="1522">
        <f t="shared" si="1"/>
        <v>2251.1666666666665</v>
      </c>
      <c r="D15" s="1522">
        <f t="shared" si="1"/>
        <v>1540.4166666666667</v>
      </c>
      <c r="E15" s="1522">
        <f t="shared" si="1"/>
        <v>1253.9166666666667</v>
      </c>
      <c r="F15" s="1522">
        <f t="shared" si="1"/>
        <v>12</v>
      </c>
      <c r="G15" s="1522">
        <f t="shared" si="1"/>
        <v>45</v>
      </c>
      <c r="H15" s="1522">
        <f t="shared" si="1"/>
        <v>602.33333333333337</v>
      </c>
      <c r="I15" s="1522">
        <f t="shared" si="1"/>
        <v>1920.1666666666667</v>
      </c>
      <c r="J15" s="1523">
        <f t="shared" si="1"/>
        <v>8234.8333333333339</v>
      </c>
      <c r="L15" s="161"/>
    </row>
    <row r="16" spans="1:17" s="157" customFormat="1" ht="27.75" customHeight="1" thickBot="1">
      <c r="A16" s="987" t="s">
        <v>22</v>
      </c>
      <c r="B16" s="1524">
        <f t="shared" ref="B16:J16" si="2">+B15/$J$15</f>
        <v>7.4055334048452715E-2</v>
      </c>
      <c r="C16" s="1524">
        <f t="shared" si="2"/>
        <v>0.27337124815317043</v>
      </c>
      <c r="D16" s="1524">
        <f t="shared" si="2"/>
        <v>0.18706106174988363</v>
      </c>
      <c r="E16" s="1524">
        <f t="shared" si="2"/>
        <v>0.15226982938331074</v>
      </c>
      <c r="F16" s="1524">
        <f t="shared" si="2"/>
        <v>1.4572243923171892E-3</v>
      </c>
      <c r="G16" s="1524">
        <f t="shared" si="2"/>
        <v>5.4645914711894594E-3</v>
      </c>
      <c r="H16" s="1524">
        <f t="shared" si="2"/>
        <v>7.314456880325447E-2</v>
      </c>
      <c r="I16" s="1524">
        <f t="shared" si="2"/>
        <v>0.23317614199842132</v>
      </c>
      <c r="J16" s="1525">
        <f t="shared" si="2"/>
        <v>1</v>
      </c>
    </row>
    <row r="18" spans="1:17" s="690" customFormat="1"/>
    <row r="19" spans="1:17" s="690" customFormat="1"/>
    <row r="21" spans="1:17" ht="15.75" thickBot="1">
      <c r="J21" s="157"/>
    </row>
    <row r="22" spans="1:17" s="157" customFormat="1" ht="48" customHeight="1">
      <c r="A22" s="988" t="s">
        <v>312</v>
      </c>
      <c r="B22" s="989">
        <v>2017</v>
      </c>
      <c r="C22" s="989">
        <v>2018</v>
      </c>
      <c r="D22" s="989">
        <v>2019</v>
      </c>
      <c r="E22" s="989">
        <v>2020</v>
      </c>
      <c r="F22" s="989">
        <v>2021</v>
      </c>
      <c r="G22" s="989" t="s">
        <v>250</v>
      </c>
      <c r="H22" s="990" t="s">
        <v>22</v>
      </c>
    </row>
    <row r="23" spans="1:17" s="157" customFormat="1" ht="27" customHeight="1">
      <c r="A23" s="991" t="s">
        <v>677</v>
      </c>
      <c r="B23" s="982">
        <v>1000</v>
      </c>
      <c r="C23" s="982">
        <v>1076</v>
      </c>
      <c r="D23" s="982">
        <v>881</v>
      </c>
      <c r="E23" s="982">
        <v>663</v>
      </c>
      <c r="F23" s="982">
        <f>+B14</f>
        <v>554</v>
      </c>
      <c r="G23" s="982">
        <f>AVERAGE(B23:F23)</f>
        <v>834.8</v>
      </c>
      <c r="H23" s="993">
        <f>+G23/$G$31</f>
        <v>8.9709422283356266E-2</v>
      </c>
    </row>
    <row r="24" spans="1:17" s="157" customFormat="1" ht="27" customHeight="1">
      <c r="A24" s="992" t="s">
        <v>681</v>
      </c>
      <c r="B24" s="984">
        <v>3506</v>
      </c>
      <c r="C24" s="984">
        <v>3617</v>
      </c>
      <c r="D24" s="984">
        <v>3146</v>
      </c>
      <c r="E24" s="984">
        <v>2394</v>
      </c>
      <c r="F24" s="984">
        <f>+C14</f>
        <v>2124</v>
      </c>
      <c r="G24" s="984">
        <f t="shared" ref="G24:G30" si="3">AVERAGE(B24:F24)</f>
        <v>2957.4</v>
      </c>
      <c r="H24" s="994">
        <f t="shared" ref="H24:H30" si="4">+G24/$G$31</f>
        <v>0.31780863136176074</v>
      </c>
      <c r="L24" s="161"/>
    </row>
    <row r="25" spans="1:17" s="157" customFormat="1" ht="27" customHeight="1">
      <c r="A25" s="991" t="s">
        <v>42</v>
      </c>
      <c r="B25" s="982">
        <v>923</v>
      </c>
      <c r="C25" s="982">
        <v>902</v>
      </c>
      <c r="D25" s="982">
        <v>1426</v>
      </c>
      <c r="E25" s="982">
        <v>1253</v>
      </c>
      <c r="F25" s="982">
        <f>+D14</f>
        <v>1781</v>
      </c>
      <c r="G25" s="982">
        <f t="shared" si="3"/>
        <v>1257</v>
      </c>
      <c r="H25" s="993">
        <f t="shared" si="4"/>
        <v>0.13507995185694638</v>
      </c>
      <c r="L25" s="161"/>
    </row>
    <row r="26" spans="1:17" s="157" customFormat="1" ht="27" customHeight="1">
      <c r="A26" s="992" t="s">
        <v>616</v>
      </c>
      <c r="B26" s="984">
        <v>2276</v>
      </c>
      <c r="C26" s="984">
        <v>2344</v>
      </c>
      <c r="D26" s="984">
        <v>1851</v>
      </c>
      <c r="E26" s="984">
        <v>1403</v>
      </c>
      <c r="F26" s="984">
        <f>+E14</f>
        <v>1126</v>
      </c>
      <c r="G26" s="984">
        <f t="shared" si="3"/>
        <v>1800</v>
      </c>
      <c r="H26" s="994">
        <f t="shared" si="4"/>
        <v>0.19343191196698764</v>
      </c>
      <c r="L26" s="161"/>
      <c r="M26" s="611"/>
      <c r="O26" s="698"/>
      <c r="Q26" s="698"/>
    </row>
    <row r="27" spans="1:17" s="157" customFormat="1" ht="27" customHeight="1">
      <c r="A27" s="991" t="s">
        <v>237</v>
      </c>
      <c r="B27" s="982">
        <v>11</v>
      </c>
      <c r="C27" s="982">
        <v>13</v>
      </c>
      <c r="D27" s="982">
        <v>12</v>
      </c>
      <c r="E27" s="982">
        <v>49</v>
      </c>
      <c r="F27" s="982">
        <f>+F14</f>
        <v>12</v>
      </c>
      <c r="G27" s="982">
        <f t="shared" si="3"/>
        <v>19.399999999999999</v>
      </c>
      <c r="H27" s="993">
        <f t="shared" si="4"/>
        <v>2.0847661623108666E-3</v>
      </c>
      <c r="L27" s="161"/>
      <c r="M27" s="611"/>
      <c r="O27" s="698"/>
      <c r="Q27" s="699"/>
    </row>
    <row r="28" spans="1:17" s="157" customFormat="1" ht="27" customHeight="1">
      <c r="A28" s="992" t="s">
        <v>680</v>
      </c>
      <c r="B28" s="984">
        <v>64</v>
      </c>
      <c r="C28" s="984">
        <v>79</v>
      </c>
      <c r="D28" s="984">
        <v>59</v>
      </c>
      <c r="E28" s="984">
        <v>11</v>
      </c>
      <c r="F28" s="984">
        <f>+G14</f>
        <v>39</v>
      </c>
      <c r="G28" s="984">
        <f t="shared" si="3"/>
        <v>50.4</v>
      </c>
      <c r="H28" s="994">
        <f t="shared" si="4"/>
        <v>5.4160935350756542E-3</v>
      </c>
      <c r="L28" s="161"/>
      <c r="M28" s="162"/>
      <c r="O28" s="698"/>
      <c r="Q28" s="699"/>
    </row>
    <row r="29" spans="1:17" s="157" customFormat="1" ht="27" customHeight="1">
      <c r="A29" s="991" t="s">
        <v>678</v>
      </c>
      <c r="B29" s="982">
        <v>967</v>
      </c>
      <c r="C29" s="982">
        <v>1018</v>
      </c>
      <c r="D29" s="982">
        <v>860</v>
      </c>
      <c r="E29" s="982">
        <v>670</v>
      </c>
      <c r="F29" s="982">
        <f>+H14</f>
        <v>565</v>
      </c>
      <c r="G29" s="982">
        <f t="shared" si="3"/>
        <v>816</v>
      </c>
      <c r="H29" s="993">
        <f t="shared" si="4"/>
        <v>8.7689133425034399E-2</v>
      </c>
      <c r="L29" s="161"/>
      <c r="M29" s="162"/>
      <c r="O29" s="698"/>
      <c r="Q29" s="698"/>
    </row>
    <row r="30" spans="1:17" s="157" customFormat="1" ht="27" customHeight="1">
      <c r="A30" s="992" t="s">
        <v>679</v>
      </c>
      <c r="B30" s="984">
        <v>1162</v>
      </c>
      <c r="C30" s="984">
        <v>1312</v>
      </c>
      <c r="D30" s="984">
        <v>1668</v>
      </c>
      <c r="E30" s="984">
        <v>1707</v>
      </c>
      <c r="F30" s="984">
        <f>+I14</f>
        <v>2004</v>
      </c>
      <c r="G30" s="984">
        <f t="shared" si="3"/>
        <v>1570.6</v>
      </c>
      <c r="H30" s="994">
        <f t="shared" si="4"/>
        <v>0.16878008940852821</v>
      </c>
      <c r="L30" s="161"/>
    </row>
    <row r="31" spans="1:17" s="157" customFormat="1" ht="36.75" customHeight="1">
      <c r="A31" s="985" t="s">
        <v>6</v>
      </c>
      <c r="B31" s="986">
        <f t="shared" ref="B31:H31" si="5">SUM(B23:B30)</f>
        <v>9909</v>
      </c>
      <c r="C31" s="986">
        <f t="shared" si="5"/>
        <v>10361</v>
      </c>
      <c r="D31" s="986">
        <f t="shared" si="5"/>
        <v>9903</v>
      </c>
      <c r="E31" s="986">
        <f t="shared" si="5"/>
        <v>8150</v>
      </c>
      <c r="F31" s="986">
        <f t="shared" si="5"/>
        <v>8205</v>
      </c>
      <c r="G31" s="986">
        <f t="shared" si="5"/>
        <v>9305.5999999999985</v>
      </c>
      <c r="H31" s="995">
        <f t="shared" si="5"/>
        <v>1.0000000000000002</v>
      </c>
      <c r="L31" s="161"/>
    </row>
    <row r="32" spans="1:17">
      <c r="J32" s="157"/>
    </row>
    <row r="33" spans="2:10">
      <c r="J33" s="157"/>
    </row>
    <row r="34" spans="2:10">
      <c r="J34" s="157"/>
    </row>
    <row r="35" spans="2:10">
      <c r="J35" s="157"/>
    </row>
    <row r="36" spans="2:10" ht="23.25">
      <c r="B36" s="1284">
        <f>+G23</f>
        <v>834.8</v>
      </c>
      <c r="C36" s="1285">
        <f>+G24</f>
        <v>2957.4</v>
      </c>
      <c r="D36" s="1285">
        <f>+G25</f>
        <v>1257</v>
      </c>
      <c r="E36" s="1285">
        <f>+G26</f>
        <v>1800</v>
      </c>
      <c r="F36" s="1285">
        <f>+G27</f>
        <v>19.399999999999999</v>
      </c>
      <c r="G36" s="1285">
        <f>+G28</f>
        <v>50.4</v>
      </c>
      <c r="H36" s="1285">
        <f>+G29</f>
        <v>816</v>
      </c>
      <c r="I36" s="1286">
        <f>+G30</f>
        <v>1570.6</v>
      </c>
      <c r="J36" s="157"/>
    </row>
    <row r="37" spans="2:10" ht="23.25">
      <c r="B37" s="1287">
        <f>+H23</f>
        <v>8.9709422283356266E-2</v>
      </c>
      <c r="C37" s="1288">
        <f>+H24</f>
        <v>0.31780863136176074</v>
      </c>
      <c r="D37" s="1288">
        <f>+H25</f>
        <v>0.13507995185694638</v>
      </c>
      <c r="E37" s="1288">
        <f>+H26</f>
        <v>0.19343191196698764</v>
      </c>
      <c r="F37" s="1288">
        <f>+H27</f>
        <v>2.0847661623108666E-3</v>
      </c>
      <c r="G37" s="1288">
        <f>+H28</f>
        <v>5.4160935350756542E-3</v>
      </c>
      <c r="H37" s="1288">
        <f>+H29</f>
        <v>8.7689133425034399E-2</v>
      </c>
      <c r="I37" s="1289">
        <f>+H30</f>
        <v>0.16878008940852821</v>
      </c>
      <c r="J37" s="157"/>
    </row>
    <row r="38" spans="2:10">
      <c r="J38" s="157"/>
    </row>
    <row r="39" spans="2:10">
      <c r="J39" s="157"/>
    </row>
    <row r="40" spans="2:10">
      <c r="J40" s="157"/>
    </row>
    <row r="41" spans="2:10">
      <c r="J41" s="157"/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3:B21"/>
  <sheetViews>
    <sheetView topLeftCell="A2" workbookViewId="0">
      <selection activeCell="A13" sqref="A13"/>
    </sheetView>
  </sheetViews>
  <sheetFormatPr baseColWidth="10" defaultRowHeight="15"/>
  <cols>
    <col min="1" max="1" width="17.5703125" bestFit="1" customWidth="1"/>
    <col min="2" max="2" width="15.42578125" bestFit="1" customWidth="1"/>
  </cols>
  <sheetData>
    <row r="3" spans="1:2">
      <c r="A3" s="252" t="s">
        <v>327</v>
      </c>
      <c r="B3" t="s">
        <v>329</v>
      </c>
    </row>
    <row r="4" spans="1:2">
      <c r="A4" s="726" t="s">
        <v>323</v>
      </c>
      <c r="B4" s="253">
        <v>1</v>
      </c>
    </row>
    <row r="5" spans="1:2">
      <c r="A5" s="726" t="s">
        <v>227</v>
      </c>
      <c r="B5" s="253">
        <v>1</v>
      </c>
    </row>
    <row r="6" spans="1:2">
      <c r="A6" s="726" t="s">
        <v>463</v>
      </c>
      <c r="B6" s="253">
        <v>1</v>
      </c>
    </row>
    <row r="7" spans="1:2">
      <c r="A7" s="726" t="s">
        <v>325</v>
      </c>
      <c r="B7" s="253">
        <v>1</v>
      </c>
    </row>
    <row r="8" spans="1:2">
      <c r="A8" s="726" t="s">
        <v>326</v>
      </c>
      <c r="B8" s="253">
        <v>1</v>
      </c>
    </row>
    <row r="9" spans="1:2">
      <c r="A9" s="726" t="s">
        <v>321</v>
      </c>
      <c r="B9" s="253">
        <v>1</v>
      </c>
    </row>
    <row r="10" spans="1:2">
      <c r="A10" s="726" t="s">
        <v>320</v>
      </c>
      <c r="B10" s="253">
        <v>1</v>
      </c>
    </row>
    <row r="11" spans="1:2">
      <c r="A11" s="726" t="s">
        <v>230</v>
      </c>
      <c r="B11" s="253">
        <v>7</v>
      </c>
    </row>
    <row r="12" spans="1:2">
      <c r="A12" s="726" t="s">
        <v>331</v>
      </c>
      <c r="B12" s="253">
        <v>1</v>
      </c>
    </row>
    <row r="13" spans="1:2">
      <c r="A13" s="726" t="s">
        <v>743</v>
      </c>
      <c r="B13" s="253">
        <v>1</v>
      </c>
    </row>
    <row r="14" spans="1:2">
      <c r="A14" s="726" t="s">
        <v>135</v>
      </c>
      <c r="B14" s="253">
        <v>31</v>
      </c>
    </row>
    <row r="15" spans="1:2">
      <c r="A15" s="726" t="s">
        <v>324</v>
      </c>
      <c r="B15" s="253">
        <v>2</v>
      </c>
    </row>
    <row r="16" spans="1:2">
      <c r="A16" s="726" t="s">
        <v>31</v>
      </c>
      <c r="B16" s="253">
        <v>3</v>
      </c>
    </row>
    <row r="17" spans="1:2">
      <c r="A17" s="726" t="s">
        <v>100</v>
      </c>
      <c r="B17" s="253">
        <v>1</v>
      </c>
    </row>
    <row r="18" spans="1:2">
      <c r="A18" s="726" t="s">
        <v>30</v>
      </c>
      <c r="B18" s="253">
        <v>75</v>
      </c>
    </row>
    <row r="19" spans="1:2">
      <c r="A19" s="726" t="s">
        <v>740</v>
      </c>
      <c r="B19" s="253">
        <v>2</v>
      </c>
    </row>
    <row r="20" spans="1:2">
      <c r="A20" s="726" t="s">
        <v>102</v>
      </c>
      <c r="B20" s="253">
        <v>3</v>
      </c>
    </row>
    <row r="21" spans="1:2">
      <c r="A21" s="726" t="s">
        <v>328</v>
      </c>
      <c r="B21" s="253">
        <v>133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69"/>
  <sheetViews>
    <sheetView showGridLines="0" zoomScale="80" zoomScaleNormal="80" workbookViewId="0">
      <selection activeCell="A3" sqref="A3:G18"/>
    </sheetView>
  </sheetViews>
  <sheetFormatPr baseColWidth="10" defaultRowHeight="14.25"/>
  <cols>
    <col min="1" max="1" width="20.7109375" style="167" customWidth="1"/>
    <col min="2" max="8" width="17.7109375" style="167" customWidth="1"/>
    <col min="9" max="9" width="17.85546875" style="167" customWidth="1"/>
    <col min="10" max="10" width="13.5703125" style="167" customWidth="1"/>
    <col min="11" max="16384" width="11.42578125" style="167"/>
  </cols>
  <sheetData>
    <row r="1" spans="1:10" ht="15.75">
      <c r="A1" s="1971" t="s">
        <v>797</v>
      </c>
      <c r="B1" s="1971"/>
      <c r="C1" s="1971"/>
      <c r="D1" s="1971"/>
      <c r="E1" s="1971"/>
      <c r="F1" s="1971"/>
      <c r="G1" s="1971"/>
    </row>
    <row r="2" spans="1:10" ht="15" thickBot="1"/>
    <row r="3" spans="1:10" ht="25.5" customHeight="1">
      <c r="A3" s="1976" t="s">
        <v>32</v>
      </c>
      <c r="B3" s="1974" t="s">
        <v>8</v>
      </c>
      <c r="C3" s="1978"/>
      <c r="D3" s="1974" t="s">
        <v>9</v>
      </c>
      <c r="E3" s="1978"/>
      <c r="F3" s="1974" t="s">
        <v>6</v>
      </c>
      <c r="G3" s="1975"/>
    </row>
    <row r="4" spans="1:10" ht="31.5" customHeight="1">
      <c r="A4" s="1977"/>
      <c r="B4" s="574" t="s">
        <v>233</v>
      </c>
      <c r="C4" s="574" t="s">
        <v>397</v>
      </c>
      <c r="D4" s="574" t="s">
        <v>233</v>
      </c>
      <c r="E4" s="574" t="s">
        <v>397</v>
      </c>
      <c r="F4" s="574" t="s">
        <v>282</v>
      </c>
      <c r="G4" s="575" t="s">
        <v>397</v>
      </c>
      <c r="H4" s="172"/>
      <c r="I4" s="172"/>
      <c r="J4" s="172"/>
    </row>
    <row r="5" spans="1:10" ht="15">
      <c r="A5" s="576" t="s">
        <v>247</v>
      </c>
      <c r="B5" s="577">
        <f>+'TABLA JURIDICA'!D7</f>
        <v>23415</v>
      </c>
      <c r="C5" s="577">
        <v>39859</v>
      </c>
      <c r="D5" s="577">
        <f>+'TABLA JURIDICA'!H7</f>
        <v>73360</v>
      </c>
      <c r="E5" s="577">
        <v>120556</v>
      </c>
      <c r="F5" s="577">
        <f t="shared" ref="F5:F16" si="0">+B5+D5</f>
        <v>96775</v>
      </c>
      <c r="G5" s="578">
        <f t="shared" ref="G5:G16" si="1">+C5+E5</f>
        <v>160415</v>
      </c>
      <c r="H5" s="172"/>
      <c r="I5" s="172"/>
      <c r="J5" s="172"/>
    </row>
    <row r="6" spans="1:10" ht="15">
      <c r="A6" s="579" t="s">
        <v>12</v>
      </c>
      <c r="B6" s="580">
        <f>+'TABLA JURIDICA'!D8</f>
        <v>23656</v>
      </c>
      <c r="C6" s="580">
        <v>40266</v>
      </c>
      <c r="D6" s="580">
        <f>+'TABLA JURIDICA'!H8</f>
        <v>73379</v>
      </c>
      <c r="E6" s="580">
        <v>120828</v>
      </c>
      <c r="F6" s="580">
        <f t="shared" si="0"/>
        <v>97035</v>
      </c>
      <c r="G6" s="581">
        <f t="shared" si="1"/>
        <v>161094</v>
      </c>
      <c r="H6" s="172"/>
      <c r="I6" s="172"/>
      <c r="J6" s="172"/>
    </row>
    <row r="7" spans="1:10" ht="15">
      <c r="A7" s="582" t="s">
        <v>13</v>
      </c>
      <c r="B7" s="524">
        <f>+'TABLA JURIDICA'!D9</f>
        <v>24899</v>
      </c>
      <c r="C7" s="524">
        <v>40680</v>
      </c>
      <c r="D7" s="524">
        <f>+'TABLA JURIDICA'!H9</f>
        <v>72510</v>
      </c>
      <c r="E7" s="524">
        <v>120793</v>
      </c>
      <c r="F7" s="524">
        <f t="shared" si="0"/>
        <v>97409</v>
      </c>
      <c r="G7" s="583">
        <f t="shared" si="1"/>
        <v>161473</v>
      </c>
      <c r="H7" s="172"/>
      <c r="I7" s="172"/>
      <c r="J7" s="172"/>
    </row>
    <row r="8" spans="1:10" ht="15">
      <c r="A8" s="579" t="s">
        <v>53</v>
      </c>
      <c r="B8" s="580">
        <f>+'TABLA JURIDICA'!D10</f>
        <v>23606</v>
      </c>
      <c r="C8" s="580">
        <v>40763</v>
      </c>
      <c r="D8" s="580">
        <f>+'TABLA JURIDICA'!H10</f>
        <v>73565</v>
      </c>
      <c r="E8" s="580">
        <v>120647</v>
      </c>
      <c r="F8" s="580">
        <f t="shared" si="0"/>
        <v>97171</v>
      </c>
      <c r="G8" s="581">
        <f t="shared" si="1"/>
        <v>161410</v>
      </c>
      <c r="H8" s="172"/>
      <c r="I8" s="172"/>
      <c r="J8" s="172"/>
    </row>
    <row r="9" spans="1:10" ht="15">
      <c r="A9" s="582" t="s">
        <v>243</v>
      </c>
      <c r="B9" s="524">
        <f>+'TABLA JURIDICA'!D11</f>
        <v>23894</v>
      </c>
      <c r="C9" s="524">
        <v>40846</v>
      </c>
      <c r="D9" s="524">
        <f>+'TABLA JURIDICA'!H11</f>
        <v>72695</v>
      </c>
      <c r="E9" s="524">
        <v>119929</v>
      </c>
      <c r="F9" s="524">
        <f t="shared" si="0"/>
        <v>96589</v>
      </c>
      <c r="G9" s="583">
        <f t="shared" si="1"/>
        <v>160775</v>
      </c>
      <c r="H9" s="172"/>
      <c r="I9" s="172"/>
      <c r="J9" s="172"/>
    </row>
    <row r="10" spans="1:10" ht="15">
      <c r="A10" s="579" t="s">
        <v>54</v>
      </c>
      <c r="B10" s="580">
        <f>+'TABLA JURIDICA'!D12</f>
        <v>24130</v>
      </c>
      <c r="C10" s="580">
        <v>40763</v>
      </c>
      <c r="D10" s="580">
        <f>+'TABLA JURIDICA'!H12</f>
        <v>72270</v>
      </c>
      <c r="E10" s="580">
        <v>120647</v>
      </c>
      <c r="F10" s="580">
        <f t="shared" si="0"/>
        <v>96400</v>
      </c>
      <c r="G10" s="581">
        <f t="shared" si="1"/>
        <v>161410</v>
      </c>
      <c r="H10" s="172"/>
      <c r="I10" s="172"/>
      <c r="J10" s="172"/>
    </row>
    <row r="11" spans="1:10" ht="15">
      <c r="A11" s="582" t="s">
        <v>56</v>
      </c>
      <c r="B11" s="524">
        <f>+'TABLA JURIDICA'!D13</f>
        <v>24507</v>
      </c>
      <c r="C11" s="524">
        <v>41355</v>
      </c>
      <c r="D11" s="524">
        <f>+'TABLA JURIDICA'!H13</f>
        <v>71879</v>
      </c>
      <c r="E11" s="524">
        <v>119331</v>
      </c>
      <c r="F11" s="524">
        <f t="shared" si="0"/>
        <v>96386</v>
      </c>
      <c r="G11" s="583">
        <f t="shared" si="1"/>
        <v>160686</v>
      </c>
      <c r="H11" s="172"/>
      <c r="I11" s="172"/>
      <c r="J11" s="172"/>
    </row>
    <row r="12" spans="1:10" ht="15">
      <c r="A12" s="579" t="s">
        <v>68</v>
      </c>
      <c r="B12" s="580">
        <f>+'TABLA JURIDICA'!D14</f>
        <v>24573</v>
      </c>
      <c r="C12" s="580">
        <v>41747</v>
      </c>
      <c r="D12" s="580">
        <f>+'TABLA JURIDICA'!H14</f>
        <v>71812</v>
      </c>
      <c r="E12" s="580">
        <v>120464</v>
      </c>
      <c r="F12" s="580">
        <f t="shared" si="0"/>
        <v>96385</v>
      </c>
      <c r="G12" s="581">
        <f t="shared" si="1"/>
        <v>162211</v>
      </c>
      <c r="H12" s="172"/>
      <c r="I12" s="172"/>
      <c r="J12" s="172"/>
    </row>
    <row r="13" spans="1:10" ht="15">
      <c r="A13" s="582" t="s">
        <v>69</v>
      </c>
      <c r="B13" s="524">
        <f>+'TABLA JURIDICA'!D15</f>
        <v>24863</v>
      </c>
      <c r="C13" s="524">
        <v>41308</v>
      </c>
      <c r="D13" s="524">
        <f>+'TABLA JURIDICA'!H15</f>
        <v>71956</v>
      </c>
      <c r="E13" s="524">
        <v>119712</v>
      </c>
      <c r="F13" s="524">
        <f t="shared" si="0"/>
        <v>96819</v>
      </c>
      <c r="G13" s="583">
        <f t="shared" si="1"/>
        <v>161020</v>
      </c>
      <c r="I13" s="172"/>
      <c r="J13" s="172"/>
    </row>
    <row r="14" spans="1:10" ht="15">
      <c r="A14" s="579" t="s">
        <v>248</v>
      </c>
      <c r="B14" s="580">
        <f>+'TABLA JURIDICA'!D16</f>
        <v>25077</v>
      </c>
      <c r="C14" s="580">
        <v>41588</v>
      </c>
      <c r="D14" s="580">
        <f>+'TABLA JURIDICA'!H16</f>
        <v>71821</v>
      </c>
      <c r="E14" s="580">
        <v>120252</v>
      </c>
      <c r="F14" s="580">
        <f t="shared" si="0"/>
        <v>96898</v>
      </c>
      <c r="G14" s="581">
        <f t="shared" si="1"/>
        <v>161840</v>
      </c>
      <c r="I14" s="172"/>
      <c r="J14" s="172"/>
    </row>
    <row r="15" spans="1:10" ht="15">
      <c r="A15" s="582" t="s">
        <v>244</v>
      </c>
      <c r="B15" s="524">
        <f>+'TABLA JURIDICA'!D17</f>
        <v>25598</v>
      </c>
      <c r="C15" s="524">
        <v>42211</v>
      </c>
      <c r="D15" s="524">
        <f>+'TABLA JURIDICA'!H17</f>
        <v>71672</v>
      </c>
      <c r="E15" s="524">
        <v>120410</v>
      </c>
      <c r="F15" s="524">
        <f t="shared" si="0"/>
        <v>97270</v>
      </c>
      <c r="G15" s="583">
        <f t="shared" si="1"/>
        <v>162621</v>
      </c>
      <c r="I15" s="173"/>
      <c r="J15" s="172"/>
    </row>
    <row r="16" spans="1:10" ht="15">
      <c r="A16" s="579" t="s">
        <v>249</v>
      </c>
      <c r="B16" s="580">
        <f>+'TABLA JURIDICA'!D18</f>
        <v>25595</v>
      </c>
      <c r="C16" s="580">
        <v>42615</v>
      </c>
      <c r="D16" s="580">
        <f>+'TABLA JURIDICA'!H18</f>
        <v>71318</v>
      </c>
      <c r="E16" s="580">
        <v>119633</v>
      </c>
      <c r="F16" s="580">
        <f t="shared" si="0"/>
        <v>96913</v>
      </c>
      <c r="G16" s="581">
        <f t="shared" si="1"/>
        <v>162248</v>
      </c>
      <c r="I16" s="172"/>
      <c r="J16" s="172"/>
    </row>
    <row r="17" spans="1:10" ht="18.75" customHeight="1">
      <c r="A17" s="1972" t="s">
        <v>391</v>
      </c>
      <c r="B17" s="570">
        <f t="shared" ref="B17:G17" si="2">AVERAGE(B5:B16)</f>
        <v>24484.416666666668</v>
      </c>
      <c r="C17" s="570">
        <f t="shared" si="2"/>
        <v>41166.75</v>
      </c>
      <c r="D17" s="570">
        <f t="shared" si="2"/>
        <v>72353.083333333328</v>
      </c>
      <c r="E17" s="570">
        <f t="shared" si="2"/>
        <v>120266.83333333333</v>
      </c>
      <c r="F17" s="570">
        <f t="shared" si="2"/>
        <v>96837.5</v>
      </c>
      <c r="G17" s="571">
        <f t="shared" si="2"/>
        <v>161433.58333333334</v>
      </c>
      <c r="I17" s="172"/>
      <c r="J17" s="172"/>
    </row>
    <row r="18" spans="1:10" ht="20.25" customHeight="1" thickBot="1">
      <c r="A18" s="1973"/>
      <c r="B18" s="572">
        <f>+B17/F17</f>
        <v>0.25284023923239107</v>
      </c>
      <c r="C18" s="572">
        <f>+C17/G17</f>
        <v>0.25500734822318566</v>
      </c>
      <c r="D18" s="572">
        <f>+D17/F17</f>
        <v>0.74715976076760893</v>
      </c>
      <c r="E18" s="572">
        <f>+E17/G17</f>
        <v>0.74499265177681417</v>
      </c>
      <c r="F18" s="572">
        <f>+B18+D18</f>
        <v>1</v>
      </c>
      <c r="G18" s="573">
        <f>+C18+E18</f>
        <v>0.99999999999999978</v>
      </c>
      <c r="I18" s="172"/>
      <c r="J18" s="172"/>
    </row>
    <row r="19" spans="1:10" ht="18.75" customHeight="1">
      <c r="I19" s="172"/>
      <c r="J19" s="172"/>
    </row>
    <row r="20" spans="1:10" ht="15.75">
      <c r="A20" s="1971" t="s">
        <v>835</v>
      </c>
      <c r="B20" s="1971"/>
      <c r="C20" s="1971"/>
      <c r="D20" s="1971"/>
      <c r="E20" s="1971"/>
      <c r="F20" s="1971"/>
      <c r="G20" s="1971"/>
    </row>
    <row r="21" spans="1:10" ht="15" thickBot="1"/>
    <row r="22" spans="1:10" ht="25.5" customHeight="1">
      <c r="A22" s="1976" t="s">
        <v>32</v>
      </c>
      <c r="B22" s="1974" t="s">
        <v>812</v>
      </c>
      <c r="C22" s="1978"/>
      <c r="D22" s="1974" t="s">
        <v>811</v>
      </c>
      <c r="E22" s="1978"/>
      <c r="F22" s="1974" t="s">
        <v>6</v>
      </c>
      <c r="G22" s="1975"/>
    </row>
    <row r="23" spans="1:10" ht="31.5" customHeight="1">
      <c r="A23" s="1977"/>
      <c r="B23" s="574" t="s">
        <v>233</v>
      </c>
      <c r="C23" s="574" t="s">
        <v>397</v>
      </c>
      <c r="D23" s="574" t="s">
        <v>233</v>
      </c>
      <c r="E23" s="574" t="s">
        <v>397</v>
      </c>
      <c r="F23" s="574" t="s">
        <v>282</v>
      </c>
      <c r="G23" s="575" t="s">
        <v>397</v>
      </c>
    </row>
    <row r="24" spans="1:10" ht="15">
      <c r="A24" s="576" t="s">
        <v>247</v>
      </c>
      <c r="B24" s="1537">
        <f>+'TABLA JURIDICA'!J7</f>
        <v>89877</v>
      </c>
      <c r="C24" s="1537">
        <v>148789</v>
      </c>
      <c r="D24" s="1537">
        <f>+'TABLA JURIDICA'!K7</f>
        <v>6898</v>
      </c>
      <c r="E24" s="1537">
        <v>11626</v>
      </c>
      <c r="F24" s="1537">
        <f t="shared" ref="F24:F35" si="3">+B24+D24</f>
        <v>96775</v>
      </c>
      <c r="G24" s="1538">
        <f t="shared" ref="G24:G35" si="4">+C24+E24</f>
        <v>160415</v>
      </c>
    </row>
    <row r="25" spans="1:10" ht="15">
      <c r="A25" s="579" t="s">
        <v>12</v>
      </c>
      <c r="B25" s="943">
        <f>+'TABLA JURIDICA'!J8</f>
        <v>90115</v>
      </c>
      <c r="C25" s="943">
        <v>149441</v>
      </c>
      <c r="D25" s="943">
        <f>+'TABLA JURIDICA'!K8</f>
        <v>6920</v>
      </c>
      <c r="E25" s="943">
        <v>11653</v>
      </c>
      <c r="F25" s="943">
        <f t="shared" si="3"/>
        <v>97035</v>
      </c>
      <c r="G25" s="1527">
        <f t="shared" si="4"/>
        <v>161094</v>
      </c>
      <c r="I25" s="172"/>
      <c r="J25" s="173"/>
    </row>
    <row r="26" spans="1:10" ht="15">
      <c r="A26" s="582" t="s">
        <v>13</v>
      </c>
      <c r="B26" s="939">
        <f>+'TABLA JURIDICA'!J9</f>
        <v>90420</v>
      </c>
      <c r="C26" s="939">
        <v>149690</v>
      </c>
      <c r="D26" s="939">
        <f>+'TABLA JURIDICA'!K9</f>
        <v>6989</v>
      </c>
      <c r="E26" s="939">
        <v>11783</v>
      </c>
      <c r="F26" s="939">
        <f t="shared" si="3"/>
        <v>97409</v>
      </c>
      <c r="G26" s="1526">
        <f t="shared" si="4"/>
        <v>161473</v>
      </c>
      <c r="I26" s="172"/>
      <c r="J26" s="172"/>
    </row>
    <row r="27" spans="1:10" ht="15">
      <c r="A27" s="579" t="s">
        <v>53</v>
      </c>
      <c r="B27" s="943">
        <f>+'TABLA JURIDICA'!J10</f>
        <v>90260</v>
      </c>
      <c r="C27" s="943">
        <v>149589</v>
      </c>
      <c r="D27" s="943">
        <f>+'TABLA JURIDICA'!K10</f>
        <v>6911</v>
      </c>
      <c r="E27" s="943">
        <v>11721</v>
      </c>
      <c r="F27" s="943">
        <f t="shared" si="3"/>
        <v>97171</v>
      </c>
      <c r="G27" s="1527">
        <f t="shared" si="4"/>
        <v>161310</v>
      </c>
      <c r="I27" s="172"/>
      <c r="J27" s="172"/>
    </row>
    <row r="28" spans="1:10" ht="15">
      <c r="A28" s="582" t="s">
        <v>243</v>
      </c>
      <c r="B28" s="939">
        <f>+'TABLA JURIDICA'!J11</f>
        <v>89725</v>
      </c>
      <c r="C28" s="939">
        <v>149101</v>
      </c>
      <c r="D28" s="939">
        <f>+'TABLA JURIDICA'!K11</f>
        <v>6864</v>
      </c>
      <c r="E28" s="939">
        <v>11674</v>
      </c>
      <c r="F28" s="939">
        <f t="shared" si="3"/>
        <v>96589</v>
      </c>
      <c r="G28" s="1526">
        <f t="shared" si="4"/>
        <v>160775</v>
      </c>
      <c r="I28" s="172"/>
      <c r="J28" s="172"/>
    </row>
    <row r="29" spans="1:10" ht="15">
      <c r="A29" s="579" t="s">
        <v>54</v>
      </c>
      <c r="B29" s="943">
        <f>+'TABLA JURIDICA'!J12</f>
        <v>89606</v>
      </c>
      <c r="C29" s="943">
        <v>149689</v>
      </c>
      <c r="D29" s="943">
        <f>+'TABLA JURIDICA'!K12</f>
        <v>6794</v>
      </c>
      <c r="E29" s="943">
        <v>11721</v>
      </c>
      <c r="F29" s="943">
        <f t="shared" si="3"/>
        <v>96400</v>
      </c>
      <c r="G29" s="1527">
        <f t="shared" si="4"/>
        <v>161410</v>
      </c>
      <c r="I29" s="172"/>
      <c r="J29" s="172"/>
    </row>
    <row r="30" spans="1:10" ht="15">
      <c r="A30" s="582" t="s">
        <v>56</v>
      </c>
      <c r="B30" s="939">
        <f>+'TABLA JURIDICA'!J13</f>
        <v>89530</v>
      </c>
      <c r="C30" s="939">
        <v>148978</v>
      </c>
      <c r="D30" s="939">
        <f>+'TABLA JURIDICA'!K13</f>
        <v>6856</v>
      </c>
      <c r="E30" s="939">
        <v>11708</v>
      </c>
      <c r="F30" s="939">
        <f t="shared" si="3"/>
        <v>96386</v>
      </c>
      <c r="G30" s="1526">
        <f t="shared" si="4"/>
        <v>160686</v>
      </c>
      <c r="I30" s="172"/>
      <c r="J30" s="172"/>
    </row>
    <row r="31" spans="1:10" ht="15">
      <c r="A31" s="579" t="s">
        <v>68</v>
      </c>
      <c r="B31" s="943">
        <f>+'TABLA JURIDICA'!J14</f>
        <v>89569</v>
      </c>
      <c r="C31" s="943">
        <v>149203</v>
      </c>
      <c r="D31" s="943">
        <f>+'TABLA JURIDICA'!K14</f>
        <v>6816</v>
      </c>
      <c r="E31" s="943">
        <v>13008</v>
      </c>
      <c r="F31" s="943">
        <f t="shared" si="3"/>
        <v>96385</v>
      </c>
      <c r="G31" s="1527">
        <f t="shared" si="4"/>
        <v>162211</v>
      </c>
      <c r="I31" s="172"/>
      <c r="J31" s="172"/>
    </row>
    <row r="32" spans="1:10" ht="15">
      <c r="A32" s="582" t="s">
        <v>69</v>
      </c>
      <c r="B32" s="939">
        <f>+'TABLA JURIDICA'!J15</f>
        <v>90054</v>
      </c>
      <c r="C32" s="939">
        <v>149465</v>
      </c>
      <c r="D32" s="939">
        <f>+'TABLA JURIDICA'!K15</f>
        <v>6765</v>
      </c>
      <c r="E32" s="939">
        <v>11555</v>
      </c>
      <c r="F32" s="939">
        <f t="shared" si="3"/>
        <v>96819</v>
      </c>
      <c r="G32" s="1526">
        <f t="shared" si="4"/>
        <v>161020</v>
      </c>
      <c r="I32" s="172"/>
      <c r="J32" s="172"/>
    </row>
    <row r="33" spans="1:10" ht="15">
      <c r="A33" s="579" t="s">
        <v>248</v>
      </c>
      <c r="B33" s="943">
        <f>+'TABLA JURIDICA'!J16</f>
        <v>90163</v>
      </c>
      <c r="C33" s="943">
        <v>150324</v>
      </c>
      <c r="D33" s="943">
        <f>+'TABLA JURIDICA'!K16</f>
        <v>6735</v>
      </c>
      <c r="E33" s="943">
        <v>11516</v>
      </c>
      <c r="F33" s="943">
        <f t="shared" si="3"/>
        <v>96898</v>
      </c>
      <c r="G33" s="1527">
        <f t="shared" si="4"/>
        <v>161840</v>
      </c>
      <c r="I33" s="172"/>
      <c r="J33" s="172"/>
    </row>
    <row r="34" spans="1:10" ht="15">
      <c r="A34" s="582" t="s">
        <v>244</v>
      </c>
      <c r="B34" s="939">
        <f>+'TABLA JURIDICA'!J17</f>
        <v>90475</v>
      </c>
      <c r="C34" s="939">
        <v>151042</v>
      </c>
      <c r="D34" s="939">
        <f>+'TABLA JURIDICA'!K17</f>
        <v>6795</v>
      </c>
      <c r="E34" s="939">
        <v>11579</v>
      </c>
      <c r="F34" s="939">
        <f t="shared" si="3"/>
        <v>97270</v>
      </c>
      <c r="G34" s="1526">
        <f t="shared" si="4"/>
        <v>162621</v>
      </c>
      <c r="I34" s="173"/>
      <c r="J34" s="172"/>
    </row>
    <row r="35" spans="1:10" ht="15">
      <c r="A35" s="579" t="s">
        <v>249</v>
      </c>
      <c r="B35" s="943">
        <f>+'TABLA JURIDICA'!J18</f>
        <v>90241</v>
      </c>
      <c r="C35" s="943">
        <v>150704</v>
      </c>
      <c r="D35" s="943">
        <f>+'TABLA JURIDICA'!K18</f>
        <v>6672</v>
      </c>
      <c r="E35" s="943">
        <v>11544</v>
      </c>
      <c r="F35" s="943">
        <f t="shared" si="3"/>
        <v>96913</v>
      </c>
      <c r="G35" s="1527">
        <f t="shared" si="4"/>
        <v>162248</v>
      </c>
      <c r="I35" s="172"/>
      <c r="J35" s="172"/>
    </row>
    <row r="36" spans="1:10" ht="18.75" customHeight="1">
      <c r="A36" s="1972" t="s">
        <v>391</v>
      </c>
      <c r="B36" s="1528">
        <f t="shared" ref="B36:G36" si="5">AVERAGE(B24:B35)</f>
        <v>90002.916666666672</v>
      </c>
      <c r="C36" s="1528">
        <f t="shared" si="5"/>
        <v>149667.91666666666</v>
      </c>
      <c r="D36" s="1528">
        <f t="shared" si="5"/>
        <v>6834.583333333333</v>
      </c>
      <c r="E36" s="1528">
        <f t="shared" si="5"/>
        <v>11757.333333333334</v>
      </c>
      <c r="F36" s="1528">
        <f t="shared" si="5"/>
        <v>96837.5</v>
      </c>
      <c r="G36" s="1529">
        <f t="shared" si="5"/>
        <v>161425.25</v>
      </c>
      <c r="I36" s="172"/>
      <c r="J36" s="172"/>
    </row>
    <row r="37" spans="1:10" ht="20.25" customHeight="1" thickBot="1">
      <c r="A37" s="1973"/>
      <c r="B37" s="1530">
        <f>+B36/F36</f>
        <v>0.9294221419043931</v>
      </c>
      <c r="C37" s="1530">
        <f>+C36/G36</f>
        <v>0.92716546306520609</v>
      </c>
      <c r="D37" s="1530">
        <f>+D36/F36</f>
        <v>7.0577858095606905E-2</v>
      </c>
      <c r="E37" s="1530">
        <f>+E36/G36</f>
        <v>7.2834536934793873E-2</v>
      </c>
      <c r="F37" s="1530">
        <f>+B37+D37</f>
        <v>1</v>
      </c>
      <c r="G37" s="1539">
        <f>+C37+E37</f>
        <v>1</v>
      </c>
      <c r="I37" s="172"/>
      <c r="J37" s="172"/>
    </row>
    <row r="40" spans="1:10" ht="83.25" customHeight="1">
      <c r="A40" s="574" t="s">
        <v>32</v>
      </c>
      <c r="B40" s="574" t="s">
        <v>438</v>
      </c>
      <c r="C40" s="574" t="s">
        <v>437</v>
      </c>
      <c r="D40" s="574" t="s">
        <v>439</v>
      </c>
      <c r="E40" s="574" t="s">
        <v>672</v>
      </c>
      <c r="F40" s="574" t="s">
        <v>671</v>
      </c>
      <c r="G40" s="574" t="s">
        <v>919</v>
      </c>
      <c r="H40" s="575" t="s">
        <v>920</v>
      </c>
    </row>
    <row r="41" spans="1:10" ht="15" customHeight="1">
      <c r="A41" s="576" t="s">
        <v>247</v>
      </c>
      <c r="B41" s="939">
        <v>25959</v>
      </c>
      <c r="C41" s="939">
        <v>21828</v>
      </c>
      <c r="D41" s="939">
        <v>20948</v>
      </c>
      <c r="E41" s="939">
        <v>18893</v>
      </c>
      <c r="F41" s="939">
        <v>17222</v>
      </c>
      <c r="G41" s="939">
        <v>55565</v>
      </c>
      <c r="H41" s="1526">
        <f t="shared" ref="H41:H52" si="6">SUM(B41:G41)</f>
        <v>160415</v>
      </c>
      <c r="J41" s="966"/>
    </row>
    <row r="42" spans="1:10" ht="15" customHeight="1">
      <c r="A42" s="579" t="s">
        <v>12</v>
      </c>
      <c r="B42" s="943">
        <v>26051</v>
      </c>
      <c r="C42" s="943">
        <v>21921</v>
      </c>
      <c r="D42" s="943">
        <v>20985</v>
      </c>
      <c r="E42" s="943">
        <v>18888</v>
      </c>
      <c r="F42" s="943">
        <v>17272</v>
      </c>
      <c r="G42" s="943">
        <v>55977</v>
      </c>
      <c r="H42" s="1527">
        <f t="shared" si="6"/>
        <v>161094</v>
      </c>
      <c r="J42" s="966"/>
    </row>
    <row r="43" spans="1:10" ht="15" customHeight="1">
      <c r="A43" s="964" t="s">
        <v>13</v>
      </c>
      <c r="B43" s="939">
        <v>26125</v>
      </c>
      <c r="C43" s="939">
        <v>21983</v>
      </c>
      <c r="D43" s="939">
        <v>20896</v>
      </c>
      <c r="E43" s="939">
        <v>18801</v>
      </c>
      <c r="F43" s="939">
        <v>17289</v>
      </c>
      <c r="G43" s="939">
        <v>56379</v>
      </c>
      <c r="H43" s="1526">
        <f t="shared" si="6"/>
        <v>161473</v>
      </c>
      <c r="J43" s="966"/>
    </row>
    <row r="44" spans="1:10" ht="15" customHeight="1">
      <c r="A44" s="965" t="s">
        <v>53</v>
      </c>
      <c r="B44" s="943">
        <v>26102</v>
      </c>
      <c r="C44" s="943">
        <v>21999</v>
      </c>
      <c r="D44" s="943">
        <v>20801</v>
      </c>
      <c r="E44" s="943">
        <v>18710</v>
      </c>
      <c r="F44" s="943">
        <v>17308</v>
      </c>
      <c r="G44" s="943">
        <v>56390</v>
      </c>
      <c r="H44" s="1527">
        <f t="shared" si="6"/>
        <v>161310</v>
      </c>
      <c r="J44" s="966"/>
    </row>
    <row r="45" spans="1:10" ht="15" customHeight="1">
      <c r="A45" s="582" t="s">
        <v>243</v>
      </c>
      <c r="B45" s="939">
        <v>26036</v>
      </c>
      <c r="C45" s="939">
        <v>21850</v>
      </c>
      <c r="D45" s="939">
        <v>20689</v>
      </c>
      <c r="E45" s="939">
        <v>18497</v>
      </c>
      <c r="F45" s="939">
        <v>17298</v>
      </c>
      <c r="G45" s="939">
        <v>56405</v>
      </c>
      <c r="H45" s="1526">
        <f t="shared" si="6"/>
        <v>160775</v>
      </c>
      <c r="J45" s="966"/>
    </row>
    <row r="46" spans="1:10" ht="15" customHeight="1">
      <c r="A46" s="579" t="s">
        <v>54</v>
      </c>
      <c r="B46" s="943">
        <v>26102</v>
      </c>
      <c r="C46" s="943">
        <v>21999</v>
      </c>
      <c r="D46" s="943">
        <v>20801</v>
      </c>
      <c r="E46" s="943">
        <v>18710</v>
      </c>
      <c r="F46" s="943">
        <v>17308</v>
      </c>
      <c r="G46" s="943">
        <v>56490</v>
      </c>
      <c r="H46" s="1527">
        <f t="shared" si="6"/>
        <v>161410</v>
      </c>
      <c r="J46" s="966"/>
    </row>
    <row r="47" spans="1:10" ht="15" customHeight="1">
      <c r="A47" s="582" t="s">
        <v>56</v>
      </c>
      <c r="B47" s="939">
        <v>26030</v>
      </c>
      <c r="C47" s="939">
        <v>21885</v>
      </c>
      <c r="D47" s="939">
        <v>20520</v>
      </c>
      <c r="E47" s="939">
        <v>18345</v>
      </c>
      <c r="F47" s="939">
        <v>17216</v>
      </c>
      <c r="G47" s="939">
        <v>56690</v>
      </c>
      <c r="H47" s="1526">
        <f t="shared" si="6"/>
        <v>160686</v>
      </c>
      <c r="J47" s="966"/>
    </row>
    <row r="48" spans="1:10" ht="15" customHeight="1">
      <c r="A48" s="579" t="s">
        <v>68</v>
      </c>
      <c r="B48" s="943">
        <v>26133</v>
      </c>
      <c r="C48" s="943">
        <v>22002</v>
      </c>
      <c r="D48" s="943">
        <v>20655</v>
      </c>
      <c r="E48" s="943">
        <v>18621</v>
      </c>
      <c r="F48" s="943">
        <v>17299</v>
      </c>
      <c r="G48" s="943">
        <v>57501</v>
      </c>
      <c r="H48" s="1527">
        <f t="shared" si="6"/>
        <v>162211</v>
      </c>
      <c r="J48" s="966"/>
    </row>
    <row r="49" spans="1:10" ht="15" customHeight="1">
      <c r="A49" s="582" t="s">
        <v>69</v>
      </c>
      <c r="B49" s="939">
        <v>26104</v>
      </c>
      <c r="C49" s="939">
        <v>21913</v>
      </c>
      <c r="D49" s="939">
        <v>20413</v>
      </c>
      <c r="E49" s="939">
        <v>18074</v>
      </c>
      <c r="F49" s="939">
        <v>17223</v>
      </c>
      <c r="G49" s="939">
        <v>57293</v>
      </c>
      <c r="H49" s="1526">
        <f t="shared" si="6"/>
        <v>161020</v>
      </c>
      <c r="J49" s="966"/>
    </row>
    <row r="50" spans="1:10" ht="15" customHeight="1">
      <c r="A50" s="579" t="s">
        <v>248</v>
      </c>
      <c r="B50" s="943">
        <v>26171</v>
      </c>
      <c r="C50" s="943">
        <v>21956</v>
      </c>
      <c r="D50" s="943">
        <v>20516</v>
      </c>
      <c r="E50" s="943">
        <v>18194</v>
      </c>
      <c r="F50" s="943">
        <v>17320</v>
      </c>
      <c r="G50" s="943">
        <v>57683</v>
      </c>
      <c r="H50" s="1527">
        <f t="shared" si="6"/>
        <v>161840</v>
      </c>
      <c r="J50" s="966"/>
    </row>
    <row r="51" spans="1:10" ht="15" customHeight="1">
      <c r="A51" s="582" t="s">
        <v>244</v>
      </c>
      <c r="B51" s="939">
        <v>26311</v>
      </c>
      <c r="C51" s="939">
        <v>22062</v>
      </c>
      <c r="D51" s="939">
        <v>20547</v>
      </c>
      <c r="E51" s="939">
        <v>18161</v>
      </c>
      <c r="F51" s="939">
        <v>17439</v>
      </c>
      <c r="G51" s="939">
        <v>58101</v>
      </c>
      <c r="H51" s="1526">
        <f t="shared" si="6"/>
        <v>162621</v>
      </c>
      <c r="J51" s="966"/>
    </row>
    <row r="52" spans="1:10" ht="15" customHeight="1">
      <c r="A52" s="1533" t="s">
        <v>249</v>
      </c>
      <c r="B52" s="943">
        <v>26214</v>
      </c>
      <c r="C52" s="943">
        <v>21889</v>
      </c>
      <c r="D52" s="943">
        <v>20565</v>
      </c>
      <c r="E52" s="943">
        <v>18168</v>
      </c>
      <c r="F52" s="943">
        <v>17373</v>
      </c>
      <c r="G52" s="943">
        <v>58039</v>
      </c>
      <c r="H52" s="1527">
        <f t="shared" si="6"/>
        <v>162248</v>
      </c>
      <c r="J52" s="966"/>
    </row>
    <row r="53" spans="1:10" ht="21" customHeight="1">
      <c r="A53" s="1972" t="s">
        <v>391</v>
      </c>
      <c r="B53" s="1528">
        <f t="shared" ref="B53:H53" si="7">AVERAGE(B41:B52)</f>
        <v>26111.5</v>
      </c>
      <c r="C53" s="1528">
        <f t="shared" si="7"/>
        <v>21940.583333333332</v>
      </c>
      <c r="D53" s="1528">
        <f t="shared" si="7"/>
        <v>20694.666666666668</v>
      </c>
      <c r="E53" s="1528">
        <f t="shared" si="7"/>
        <v>18505.166666666668</v>
      </c>
      <c r="F53" s="1528">
        <f t="shared" si="7"/>
        <v>17297.25</v>
      </c>
      <c r="G53" s="1528">
        <f t="shared" si="7"/>
        <v>56876.083333333336</v>
      </c>
      <c r="H53" s="1529">
        <f t="shared" si="7"/>
        <v>161425.25</v>
      </c>
      <c r="J53" s="966"/>
    </row>
    <row r="54" spans="1:10" ht="21" customHeight="1" thickBot="1">
      <c r="A54" s="1973"/>
      <c r="B54" s="1530">
        <f t="shared" ref="B54:G54" si="8">+B53/$H$53</f>
        <v>0.16175598303239425</v>
      </c>
      <c r="C54" s="1530">
        <f t="shared" si="8"/>
        <v>0.1359179145352622</v>
      </c>
      <c r="D54" s="1530">
        <f t="shared" si="8"/>
        <v>0.12819968788443362</v>
      </c>
      <c r="E54" s="1530">
        <f t="shared" si="8"/>
        <v>0.11463613447503825</v>
      </c>
      <c r="F54" s="1530">
        <f t="shared" si="8"/>
        <v>0.10715331089776847</v>
      </c>
      <c r="G54" s="1531">
        <f t="shared" si="8"/>
        <v>0.35233696917510327</v>
      </c>
      <c r="H54" s="1532">
        <f>SUM(B54:G54)</f>
        <v>1</v>
      </c>
    </row>
    <row r="56" spans="1:10" ht="27.75" customHeight="1">
      <c r="A56" s="574" t="s">
        <v>436</v>
      </c>
      <c r="B56" s="574">
        <v>2017</v>
      </c>
      <c r="C56" s="574">
        <v>2018</v>
      </c>
      <c r="D56" s="574">
        <v>2019</v>
      </c>
      <c r="E56" s="574">
        <v>2020</v>
      </c>
      <c r="F56" s="574">
        <v>2021</v>
      </c>
      <c r="G56" s="574" t="s">
        <v>250</v>
      </c>
      <c r="H56" s="575" t="s">
        <v>22</v>
      </c>
    </row>
    <row r="57" spans="1:10" ht="15">
      <c r="A57" s="972" t="s">
        <v>438</v>
      </c>
      <c r="B57" s="971">
        <v>27166</v>
      </c>
      <c r="C57" s="971">
        <v>27538</v>
      </c>
      <c r="D57" s="971">
        <v>28831</v>
      </c>
      <c r="E57" s="971">
        <v>25921</v>
      </c>
      <c r="F57" s="971">
        <v>26214</v>
      </c>
      <c r="G57" s="970">
        <f>AVERAGE(B57:E57)</f>
        <v>27364</v>
      </c>
      <c r="H57" s="975">
        <f t="shared" ref="H57:H63" si="9">+G57/$G$63</f>
        <v>0.15170091126433596</v>
      </c>
    </row>
    <row r="58" spans="1:10" ht="15">
      <c r="A58" s="579" t="s">
        <v>437</v>
      </c>
      <c r="B58" s="580">
        <v>27519</v>
      </c>
      <c r="C58" s="580">
        <v>27639</v>
      </c>
      <c r="D58" s="580">
        <v>29489</v>
      </c>
      <c r="E58" s="580">
        <v>21798</v>
      </c>
      <c r="F58" s="580">
        <v>21889</v>
      </c>
      <c r="G58" s="580">
        <f>AVERAGE(B58:E58)</f>
        <v>26611.25</v>
      </c>
      <c r="H58" s="968">
        <f t="shared" si="9"/>
        <v>0.14752780568933854</v>
      </c>
    </row>
    <row r="59" spans="1:10" ht="60">
      <c r="A59" s="969" t="s">
        <v>672</v>
      </c>
      <c r="B59" s="971">
        <v>24168</v>
      </c>
      <c r="C59" s="971">
        <v>24807</v>
      </c>
      <c r="D59" s="971">
        <v>25897</v>
      </c>
      <c r="E59" s="971">
        <v>18952</v>
      </c>
      <c r="F59" s="971">
        <v>18168</v>
      </c>
      <c r="G59" s="971">
        <f>AVERAGE(B59:E59)</f>
        <v>23456</v>
      </c>
      <c r="H59" s="967">
        <f t="shared" si="9"/>
        <v>0.13003568829908874</v>
      </c>
    </row>
    <row r="60" spans="1:10" ht="28.5" customHeight="1">
      <c r="A60" s="579" t="s">
        <v>439</v>
      </c>
      <c r="B60" s="580">
        <v>20755</v>
      </c>
      <c r="C60" s="580">
        <v>23516</v>
      </c>
      <c r="D60" s="580">
        <v>26125</v>
      </c>
      <c r="E60" s="580">
        <v>21011</v>
      </c>
      <c r="F60" s="580">
        <v>20565</v>
      </c>
      <c r="G60" s="580">
        <f>AVERAGE(B60:F60)</f>
        <v>22394.400000000001</v>
      </c>
      <c r="H60" s="968">
        <f t="shared" si="9"/>
        <v>0.12415037593984964</v>
      </c>
    </row>
    <row r="61" spans="1:10" ht="60">
      <c r="A61" s="969" t="s">
        <v>671</v>
      </c>
      <c r="B61" s="971">
        <v>21238</v>
      </c>
      <c r="C61" s="971">
        <v>20884</v>
      </c>
      <c r="D61" s="971">
        <v>20941</v>
      </c>
      <c r="E61" s="971">
        <v>17184</v>
      </c>
      <c r="F61" s="971">
        <v>17373</v>
      </c>
      <c r="G61" s="971">
        <f>AVERAGE(B61:E61)</f>
        <v>20061.75</v>
      </c>
      <c r="H61" s="967">
        <f t="shared" si="9"/>
        <v>0.11121859949412702</v>
      </c>
    </row>
    <row r="62" spans="1:10" ht="15">
      <c r="A62" s="579" t="s">
        <v>441</v>
      </c>
      <c r="B62" s="580">
        <v>56470</v>
      </c>
      <c r="C62" s="580">
        <v>61290</v>
      </c>
      <c r="D62" s="580">
        <v>66914</v>
      </c>
      <c r="E62" s="580">
        <v>55472</v>
      </c>
      <c r="F62" s="580">
        <v>58039</v>
      </c>
      <c r="G62" s="580">
        <f>AVERAGE(B62:F62)</f>
        <v>59637</v>
      </c>
      <c r="H62" s="968">
        <f t="shared" si="9"/>
        <v>0.33061640275804721</v>
      </c>
      <c r="J62" s="172"/>
    </row>
    <row r="63" spans="1:10" ht="23.25" customHeight="1">
      <c r="A63" s="947" t="s">
        <v>20</v>
      </c>
      <c r="B63" s="570">
        <f>SUM(B57:B62)</f>
        <v>177316</v>
      </c>
      <c r="C63" s="570">
        <f>SUM(C57:C62)</f>
        <v>185674</v>
      </c>
      <c r="D63" s="570">
        <f>SUM(D57:D62)</f>
        <v>198197</v>
      </c>
      <c r="E63" s="570">
        <f>SUM(E57:E62)</f>
        <v>160338</v>
      </c>
      <c r="F63" s="570">
        <f>SUM(F57:F62)</f>
        <v>162248</v>
      </c>
      <c r="G63" s="974">
        <f>AVERAGE(B63:E63)</f>
        <v>180381.25</v>
      </c>
      <c r="H63" s="973">
        <f t="shared" si="9"/>
        <v>1</v>
      </c>
      <c r="J63" s="172"/>
    </row>
    <row r="66" spans="2:7" ht="21.75" customHeight="1">
      <c r="B66" s="1292">
        <f>+G57</f>
        <v>27364</v>
      </c>
      <c r="C66" s="610">
        <f>+G58</f>
        <v>26611.25</v>
      </c>
      <c r="D66" s="610">
        <f>+G59</f>
        <v>23456</v>
      </c>
      <c r="E66" s="610">
        <f>+G60</f>
        <v>22394.400000000001</v>
      </c>
      <c r="F66" s="610">
        <f>+G61</f>
        <v>20061.75</v>
      </c>
      <c r="G66" s="1290">
        <f>+G62</f>
        <v>59637</v>
      </c>
    </row>
    <row r="67" spans="2:7" ht="21.75" customHeight="1">
      <c r="B67" s="1293">
        <f>+H57</f>
        <v>0.15170091126433596</v>
      </c>
      <c r="C67" s="1295">
        <f>+H58</f>
        <v>0.14752780568933854</v>
      </c>
      <c r="D67" s="1295">
        <f>+H59</f>
        <v>0.13003568829908874</v>
      </c>
      <c r="E67" s="1295">
        <f>+H60</f>
        <v>0.12415037593984964</v>
      </c>
      <c r="F67" s="1291">
        <f>+H61</f>
        <v>0.11121859949412702</v>
      </c>
      <c r="G67" s="1294">
        <f>+H62</f>
        <v>0.33061640275804721</v>
      </c>
    </row>
    <row r="68" spans="2:7" ht="21.75" customHeight="1"/>
    <row r="69" spans="2:7" ht="21.75" customHeight="1"/>
  </sheetData>
  <mergeCells count="13">
    <mergeCell ref="A53:A54"/>
    <mergeCell ref="A22:A23"/>
    <mergeCell ref="B22:C22"/>
    <mergeCell ref="D22:E22"/>
    <mergeCell ref="F22:G22"/>
    <mergeCell ref="A36:A37"/>
    <mergeCell ref="A20:G20"/>
    <mergeCell ref="A17:A18"/>
    <mergeCell ref="A1:G1"/>
    <mergeCell ref="F3:G3"/>
    <mergeCell ref="A3:A4"/>
    <mergeCell ref="B3:C3"/>
    <mergeCell ref="D3:E3"/>
  </mergeCells>
  <phoneticPr fontId="171" type="noConversion"/>
  <pageMargins left="0.7" right="0.7" top="0.75" bottom="0.75" header="0.3" footer="0.3"/>
  <pageSetup orientation="portrait" horizontalDpi="4294967294" verticalDpi="4294967294" r:id="rId1"/>
  <ignoredErrors>
    <ignoredError sqref="B17:G18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009900"/>
  </sheetPr>
  <dimension ref="C1:AB269"/>
  <sheetViews>
    <sheetView showGridLines="0" topLeftCell="C229" zoomScale="50" zoomScaleNormal="50" workbookViewId="0">
      <selection activeCell="C230" sqref="C230:O247"/>
    </sheetView>
  </sheetViews>
  <sheetFormatPr baseColWidth="10" defaultRowHeight="12.75"/>
  <cols>
    <col min="1" max="1" width="1.7109375" style="34" customWidth="1"/>
    <col min="2" max="2" width="2" style="34" customWidth="1"/>
    <col min="3" max="3" width="24.28515625" style="50" customWidth="1"/>
    <col min="4" max="14" width="16.85546875" style="34" customWidth="1"/>
    <col min="15" max="15" width="17.7109375" style="36" customWidth="1"/>
    <col min="16" max="16" width="1.85546875" style="37" customWidth="1"/>
    <col min="17" max="17" width="11.42578125" style="34"/>
    <col min="18" max="18" width="16.140625" style="34" bestFit="1" customWidth="1"/>
    <col min="19" max="19" width="8.42578125" style="34" customWidth="1"/>
    <col min="20" max="197" width="11.42578125" style="34"/>
    <col min="198" max="198" width="38.5703125" style="34" customWidth="1"/>
    <col min="199" max="199" width="11.5703125" style="34" customWidth="1"/>
    <col min="200" max="200" width="12.42578125" style="34" customWidth="1"/>
    <col min="201" max="201" width="10.140625" style="34" bestFit="1" customWidth="1"/>
    <col min="202" max="202" width="13.28515625" style="34" customWidth="1"/>
    <col min="203" max="203" width="10.140625" style="34" bestFit="1" customWidth="1"/>
    <col min="204" max="204" width="16.28515625" style="34" customWidth="1"/>
    <col min="205" max="205" width="11.5703125" style="34" customWidth="1"/>
    <col min="206" max="206" width="10.140625" style="34" bestFit="1" customWidth="1"/>
    <col min="207" max="207" width="16.5703125" style="34" customWidth="1"/>
    <col min="208" max="210" width="0" style="34" hidden="1" customWidth="1"/>
    <col min="211" max="211" width="20.7109375" style="34" customWidth="1"/>
    <col min="212" max="212" width="23.85546875" style="34" customWidth="1"/>
    <col min="213" max="213" width="13.140625" style="34" bestFit="1" customWidth="1"/>
    <col min="214" max="214" width="1.85546875" style="34" customWidth="1"/>
    <col min="215" max="215" width="13.140625" style="34" bestFit="1" customWidth="1"/>
    <col min="216" max="216" width="15" style="34" customWidth="1"/>
    <col min="217" max="217" width="2.7109375" style="34" customWidth="1"/>
    <col min="218" max="218" width="17.5703125" style="34" customWidth="1"/>
    <col min="219" max="219" width="13.7109375" style="34" customWidth="1"/>
    <col min="220" max="220" width="3.7109375" style="34" customWidth="1"/>
    <col min="221" max="221" width="9" style="34" customWidth="1"/>
    <col min="222" max="222" width="11.85546875" style="34" customWidth="1"/>
    <col min="223" max="223" width="9.5703125" style="34" customWidth="1"/>
    <col min="224" max="224" width="10.5703125" style="34" customWidth="1"/>
    <col min="225" max="225" width="1.5703125" style="34" customWidth="1"/>
    <col min="226" max="226" width="15.85546875" style="34" bestFit="1" customWidth="1"/>
    <col min="227" max="227" width="6.42578125" style="34" customWidth="1"/>
    <col min="228" max="228" width="8.28515625" style="34" customWidth="1"/>
    <col min="229" max="229" width="6.42578125" style="34" customWidth="1"/>
    <col min="230" max="230" width="4.28515625" style="34" customWidth="1"/>
    <col min="231" max="234" width="0" style="34" hidden="1" customWidth="1"/>
    <col min="235" max="235" width="5.42578125" style="34" customWidth="1"/>
    <col min="236" max="453" width="11.42578125" style="34"/>
    <col min="454" max="454" width="38.5703125" style="34" customWidth="1"/>
    <col min="455" max="455" width="11.5703125" style="34" customWidth="1"/>
    <col min="456" max="456" width="12.42578125" style="34" customWidth="1"/>
    <col min="457" max="457" width="10.140625" style="34" bestFit="1" customWidth="1"/>
    <col min="458" max="458" width="13.28515625" style="34" customWidth="1"/>
    <col min="459" max="459" width="10.140625" style="34" bestFit="1" customWidth="1"/>
    <col min="460" max="460" width="16.28515625" style="34" customWidth="1"/>
    <col min="461" max="461" width="11.5703125" style="34" customWidth="1"/>
    <col min="462" max="462" width="10.140625" style="34" bestFit="1" customWidth="1"/>
    <col min="463" max="463" width="16.5703125" style="34" customWidth="1"/>
    <col min="464" max="466" width="0" style="34" hidden="1" customWidth="1"/>
    <col min="467" max="467" width="20.7109375" style="34" customWidth="1"/>
    <col min="468" max="468" width="23.85546875" style="34" customWidth="1"/>
    <col min="469" max="469" width="13.140625" style="34" bestFit="1" customWidth="1"/>
    <col min="470" max="470" width="1.85546875" style="34" customWidth="1"/>
    <col min="471" max="471" width="13.140625" style="34" bestFit="1" customWidth="1"/>
    <col min="472" max="472" width="15" style="34" customWidth="1"/>
    <col min="473" max="473" width="2.7109375" style="34" customWidth="1"/>
    <col min="474" max="474" width="17.5703125" style="34" customWidth="1"/>
    <col min="475" max="475" width="13.7109375" style="34" customWidth="1"/>
    <col min="476" max="476" width="3.7109375" style="34" customWidth="1"/>
    <col min="477" max="477" width="9" style="34" customWidth="1"/>
    <col min="478" max="478" width="11.85546875" style="34" customWidth="1"/>
    <col min="479" max="479" width="9.5703125" style="34" customWidth="1"/>
    <col min="480" max="480" width="10.5703125" style="34" customWidth="1"/>
    <col min="481" max="481" width="1.5703125" style="34" customWidth="1"/>
    <col min="482" max="482" width="15.85546875" style="34" bestFit="1" customWidth="1"/>
    <col min="483" max="483" width="6.42578125" style="34" customWidth="1"/>
    <col min="484" max="484" width="8.28515625" style="34" customWidth="1"/>
    <col min="485" max="485" width="6.42578125" style="34" customWidth="1"/>
    <col min="486" max="486" width="4.28515625" style="34" customWidth="1"/>
    <col min="487" max="490" width="0" style="34" hidden="1" customWidth="1"/>
    <col min="491" max="491" width="5.42578125" style="34" customWidth="1"/>
    <col min="492" max="709" width="11.42578125" style="34"/>
    <col min="710" max="710" width="38.5703125" style="34" customWidth="1"/>
    <col min="711" max="711" width="11.5703125" style="34" customWidth="1"/>
    <col min="712" max="712" width="12.42578125" style="34" customWidth="1"/>
    <col min="713" max="713" width="10.140625" style="34" bestFit="1" customWidth="1"/>
    <col min="714" max="714" width="13.28515625" style="34" customWidth="1"/>
    <col min="715" max="715" width="10.140625" style="34" bestFit="1" customWidth="1"/>
    <col min="716" max="716" width="16.28515625" style="34" customWidth="1"/>
    <col min="717" max="717" width="11.5703125" style="34" customWidth="1"/>
    <col min="718" max="718" width="10.140625" style="34" bestFit="1" customWidth="1"/>
    <col min="719" max="719" width="16.5703125" style="34" customWidth="1"/>
    <col min="720" max="722" width="0" style="34" hidden="1" customWidth="1"/>
    <col min="723" max="723" width="20.7109375" style="34" customWidth="1"/>
    <col min="724" max="724" width="23.85546875" style="34" customWidth="1"/>
    <col min="725" max="725" width="13.140625" style="34" bestFit="1" customWidth="1"/>
    <col min="726" max="726" width="1.85546875" style="34" customWidth="1"/>
    <col min="727" max="727" width="13.140625" style="34" bestFit="1" customWidth="1"/>
    <col min="728" max="728" width="15" style="34" customWidth="1"/>
    <col min="729" max="729" width="2.7109375" style="34" customWidth="1"/>
    <col min="730" max="730" width="17.5703125" style="34" customWidth="1"/>
    <col min="731" max="731" width="13.7109375" style="34" customWidth="1"/>
    <col min="732" max="732" width="3.7109375" style="34" customWidth="1"/>
    <col min="733" max="733" width="9" style="34" customWidth="1"/>
    <col min="734" max="734" width="11.85546875" style="34" customWidth="1"/>
    <col min="735" max="735" width="9.5703125" style="34" customWidth="1"/>
    <col min="736" max="736" width="10.5703125" style="34" customWidth="1"/>
    <col min="737" max="737" width="1.5703125" style="34" customWidth="1"/>
    <col min="738" max="738" width="15.85546875" style="34" bestFit="1" customWidth="1"/>
    <col min="739" max="739" width="6.42578125" style="34" customWidth="1"/>
    <col min="740" max="740" width="8.28515625" style="34" customWidth="1"/>
    <col min="741" max="741" width="6.42578125" style="34" customWidth="1"/>
    <col min="742" max="742" width="4.28515625" style="34" customWidth="1"/>
    <col min="743" max="746" width="0" style="34" hidden="1" customWidth="1"/>
    <col min="747" max="747" width="5.42578125" style="34" customWidth="1"/>
    <col min="748" max="965" width="11.42578125" style="34"/>
    <col min="966" max="966" width="38.5703125" style="34" customWidth="1"/>
    <col min="967" max="967" width="11.5703125" style="34" customWidth="1"/>
    <col min="968" max="968" width="12.42578125" style="34" customWidth="1"/>
    <col min="969" max="969" width="10.140625" style="34" bestFit="1" customWidth="1"/>
    <col min="970" max="970" width="13.28515625" style="34" customWidth="1"/>
    <col min="971" max="971" width="10.140625" style="34" bestFit="1" customWidth="1"/>
    <col min="972" max="972" width="16.28515625" style="34" customWidth="1"/>
    <col min="973" max="973" width="11.5703125" style="34" customWidth="1"/>
    <col min="974" max="974" width="10.140625" style="34" bestFit="1" customWidth="1"/>
    <col min="975" max="975" width="16.5703125" style="34" customWidth="1"/>
    <col min="976" max="978" width="0" style="34" hidden="1" customWidth="1"/>
    <col min="979" max="979" width="20.7109375" style="34" customWidth="1"/>
    <col min="980" max="980" width="23.85546875" style="34" customWidth="1"/>
    <col min="981" max="981" width="13.140625" style="34" bestFit="1" customWidth="1"/>
    <col min="982" max="982" width="1.85546875" style="34" customWidth="1"/>
    <col min="983" max="983" width="13.140625" style="34" bestFit="1" customWidth="1"/>
    <col min="984" max="984" width="15" style="34" customWidth="1"/>
    <col min="985" max="985" width="2.7109375" style="34" customWidth="1"/>
    <col min="986" max="986" width="17.5703125" style="34" customWidth="1"/>
    <col min="987" max="987" width="13.7109375" style="34" customWidth="1"/>
    <col min="988" max="988" width="3.7109375" style="34" customWidth="1"/>
    <col min="989" max="989" width="9" style="34" customWidth="1"/>
    <col min="990" max="990" width="11.85546875" style="34" customWidth="1"/>
    <col min="991" max="991" width="9.5703125" style="34" customWidth="1"/>
    <col min="992" max="992" width="10.5703125" style="34" customWidth="1"/>
    <col min="993" max="993" width="1.5703125" style="34" customWidth="1"/>
    <col min="994" max="994" width="15.85546875" style="34" bestFit="1" customWidth="1"/>
    <col min="995" max="995" width="6.42578125" style="34" customWidth="1"/>
    <col min="996" max="996" width="8.28515625" style="34" customWidth="1"/>
    <col min="997" max="997" width="6.42578125" style="34" customWidth="1"/>
    <col min="998" max="998" width="4.28515625" style="34" customWidth="1"/>
    <col min="999" max="1002" width="0" style="34" hidden="1" customWidth="1"/>
    <col min="1003" max="1003" width="5.42578125" style="34" customWidth="1"/>
    <col min="1004" max="1221" width="11.42578125" style="34"/>
    <col min="1222" max="1222" width="38.5703125" style="34" customWidth="1"/>
    <col min="1223" max="1223" width="11.5703125" style="34" customWidth="1"/>
    <col min="1224" max="1224" width="12.42578125" style="34" customWidth="1"/>
    <col min="1225" max="1225" width="10.140625" style="34" bestFit="1" customWidth="1"/>
    <col min="1226" max="1226" width="13.28515625" style="34" customWidth="1"/>
    <col min="1227" max="1227" width="10.140625" style="34" bestFit="1" customWidth="1"/>
    <col min="1228" max="1228" width="16.28515625" style="34" customWidth="1"/>
    <col min="1229" max="1229" width="11.5703125" style="34" customWidth="1"/>
    <col min="1230" max="1230" width="10.140625" style="34" bestFit="1" customWidth="1"/>
    <col min="1231" max="1231" width="16.5703125" style="34" customWidth="1"/>
    <col min="1232" max="1234" width="0" style="34" hidden="1" customWidth="1"/>
    <col min="1235" max="1235" width="20.7109375" style="34" customWidth="1"/>
    <col min="1236" max="1236" width="23.85546875" style="34" customWidth="1"/>
    <col min="1237" max="1237" width="13.140625" style="34" bestFit="1" customWidth="1"/>
    <col min="1238" max="1238" width="1.85546875" style="34" customWidth="1"/>
    <col min="1239" max="1239" width="13.140625" style="34" bestFit="1" customWidth="1"/>
    <col min="1240" max="1240" width="15" style="34" customWidth="1"/>
    <col min="1241" max="1241" width="2.7109375" style="34" customWidth="1"/>
    <col min="1242" max="1242" width="17.5703125" style="34" customWidth="1"/>
    <col min="1243" max="1243" width="13.7109375" style="34" customWidth="1"/>
    <col min="1244" max="1244" width="3.7109375" style="34" customWidth="1"/>
    <col min="1245" max="1245" width="9" style="34" customWidth="1"/>
    <col min="1246" max="1246" width="11.85546875" style="34" customWidth="1"/>
    <col min="1247" max="1247" width="9.5703125" style="34" customWidth="1"/>
    <col min="1248" max="1248" width="10.5703125" style="34" customWidth="1"/>
    <col min="1249" max="1249" width="1.5703125" style="34" customWidth="1"/>
    <col min="1250" max="1250" width="15.85546875" style="34" bestFit="1" customWidth="1"/>
    <col min="1251" max="1251" width="6.42578125" style="34" customWidth="1"/>
    <col min="1252" max="1252" width="8.28515625" style="34" customWidth="1"/>
    <col min="1253" max="1253" width="6.42578125" style="34" customWidth="1"/>
    <col min="1254" max="1254" width="4.28515625" style="34" customWidth="1"/>
    <col min="1255" max="1258" width="0" style="34" hidden="1" customWidth="1"/>
    <col min="1259" max="1259" width="5.42578125" style="34" customWidth="1"/>
    <col min="1260" max="1477" width="11.42578125" style="34"/>
    <col min="1478" max="1478" width="38.5703125" style="34" customWidth="1"/>
    <col min="1479" max="1479" width="11.5703125" style="34" customWidth="1"/>
    <col min="1480" max="1480" width="12.42578125" style="34" customWidth="1"/>
    <col min="1481" max="1481" width="10.140625" style="34" bestFit="1" customWidth="1"/>
    <col min="1482" max="1482" width="13.28515625" style="34" customWidth="1"/>
    <col min="1483" max="1483" width="10.140625" style="34" bestFit="1" customWidth="1"/>
    <col min="1484" max="1484" width="16.28515625" style="34" customWidth="1"/>
    <col min="1485" max="1485" width="11.5703125" style="34" customWidth="1"/>
    <col min="1486" max="1486" width="10.140625" style="34" bestFit="1" customWidth="1"/>
    <col min="1487" max="1487" width="16.5703125" style="34" customWidth="1"/>
    <col min="1488" max="1490" width="0" style="34" hidden="1" customWidth="1"/>
    <col min="1491" max="1491" width="20.7109375" style="34" customWidth="1"/>
    <col min="1492" max="1492" width="23.85546875" style="34" customWidth="1"/>
    <col min="1493" max="1493" width="13.140625" style="34" bestFit="1" customWidth="1"/>
    <col min="1494" max="1494" width="1.85546875" style="34" customWidth="1"/>
    <col min="1495" max="1495" width="13.140625" style="34" bestFit="1" customWidth="1"/>
    <col min="1496" max="1496" width="15" style="34" customWidth="1"/>
    <col min="1497" max="1497" width="2.7109375" style="34" customWidth="1"/>
    <col min="1498" max="1498" width="17.5703125" style="34" customWidth="1"/>
    <col min="1499" max="1499" width="13.7109375" style="34" customWidth="1"/>
    <col min="1500" max="1500" width="3.7109375" style="34" customWidth="1"/>
    <col min="1501" max="1501" width="9" style="34" customWidth="1"/>
    <col min="1502" max="1502" width="11.85546875" style="34" customWidth="1"/>
    <col min="1503" max="1503" width="9.5703125" style="34" customWidth="1"/>
    <col min="1504" max="1504" width="10.5703125" style="34" customWidth="1"/>
    <col min="1505" max="1505" width="1.5703125" style="34" customWidth="1"/>
    <col min="1506" max="1506" width="15.85546875" style="34" bestFit="1" customWidth="1"/>
    <col min="1507" max="1507" width="6.42578125" style="34" customWidth="1"/>
    <col min="1508" max="1508" width="8.28515625" style="34" customWidth="1"/>
    <col min="1509" max="1509" width="6.42578125" style="34" customWidth="1"/>
    <col min="1510" max="1510" width="4.28515625" style="34" customWidth="1"/>
    <col min="1511" max="1514" width="0" style="34" hidden="1" customWidth="1"/>
    <col min="1515" max="1515" width="5.42578125" style="34" customWidth="1"/>
    <col min="1516" max="1733" width="11.42578125" style="34"/>
    <col min="1734" max="1734" width="38.5703125" style="34" customWidth="1"/>
    <col min="1735" max="1735" width="11.5703125" style="34" customWidth="1"/>
    <col min="1736" max="1736" width="12.42578125" style="34" customWidth="1"/>
    <col min="1737" max="1737" width="10.140625" style="34" bestFit="1" customWidth="1"/>
    <col min="1738" max="1738" width="13.28515625" style="34" customWidth="1"/>
    <col min="1739" max="1739" width="10.140625" style="34" bestFit="1" customWidth="1"/>
    <col min="1740" max="1740" width="16.28515625" style="34" customWidth="1"/>
    <col min="1741" max="1741" width="11.5703125" style="34" customWidth="1"/>
    <col min="1742" max="1742" width="10.140625" style="34" bestFit="1" customWidth="1"/>
    <col min="1743" max="1743" width="16.5703125" style="34" customWidth="1"/>
    <col min="1744" max="1746" width="0" style="34" hidden="1" customWidth="1"/>
    <col min="1747" max="1747" width="20.7109375" style="34" customWidth="1"/>
    <col min="1748" max="1748" width="23.85546875" style="34" customWidth="1"/>
    <col min="1749" max="1749" width="13.140625" style="34" bestFit="1" customWidth="1"/>
    <col min="1750" max="1750" width="1.85546875" style="34" customWidth="1"/>
    <col min="1751" max="1751" width="13.140625" style="34" bestFit="1" customWidth="1"/>
    <col min="1752" max="1752" width="15" style="34" customWidth="1"/>
    <col min="1753" max="1753" width="2.7109375" style="34" customWidth="1"/>
    <col min="1754" max="1754" width="17.5703125" style="34" customWidth="1"/>
    <col min="1755" max="1755" width="13.7109375" style="34" customWidth="1"/>
    <col min="1756" max="1756" width="3.7109375" style="34" customWidth="1"/>
    <col min="1757" max="1757" width="9" style="34" customWidth="1"/>
    <col min="1758" max="1758" width="11.85546875" style="34" customWidth="1"/>
    <col min="1759" max="1759" width="9.5703125" style="34" customWidth="1"/>
    <col min="1760" max="1760" width="10.5703125" style="34" customWidth="1"/>
    <col min="1761" max="1761" width="1.5703125" style="34" customWidth="1"/>
    <col min="1762" max="1762" width="15.85546875" style="34" bestFit="1" customWidth="1"/>
    <col min="1763" max="1763" width="6.42578125" style="34" customWidth="1"/>
    <col min="1764" max="1764" width="8.28515625" style="34" customWidth="1"/>
    <col min="1765" max="1765" width="6.42578125" style="34" customWidth="1"/>
    <col min="1766" max="1766" width="4.28515625" style="34" customWidth="1"/>
    <col min="1767" max="1770" width="0" style="34" hidden="1" customWidth="1"/>
    <col min="1771" max="1771" width="5.42578125" style="34" customWidth="1"/>
    <col min="1772" max="1989" width="11.42578125" style="34"/>
    <col min="1990" max="1990" width="38.5703125" style="34" customWidth="1"/>
    <col min="1991" max="1991" width="11.5703125" style="34" customWidth="1"/>
    <col min="1992" max="1992" width="12.42578125" style="34" customWidth="1"/>
    <col min="1993" max="1993" width="10.140625" style="34" bestFit="1" customWidth="1"/>
    <col min="1994" max="1994" width="13.28515625" style="34" customWidth="1"/>
    <col min="1995" max="1995" width="10.140625" style="34" bestFit="1" customWidth="1"/>
    <col min="1996" max="1996" width="16.28515625" style="34" customWidth="1"/>
    <col min="1997" max="1997" width="11.5703125" style="34" customWidth="1"/>
    <col min="1998" max="1998" width="10.140625" style="34" bestFit="1" customWidth="1"/>
    <col min="1999" max="1999" width="16.5703125" style="34" customWidth="1"/>
    <col min="2000" max="2002" width="0" style="34" hidden="1" customWidth="1"/>
    <col min="2003" max="2003" width="20.7109375" style="34" customWidth="1"/>
    <col min="2004" max="2004" width="23.85546875" style="34" customWidth="1"/>
    <col min="2005" max="2005" width="13.140625" style="34" bestFit="1" customWidth="1"/>
    <col min="2006" max="2006" width="1.85546875" style="34" customWidth="1"/>
    <col min="2007" max="2007" width="13.140625" style="34" bestFit="1" customWidth="1"/>
    <col min="2008" max="2008" width="15" style="34" customWidth="1"/>
    <col min="2009" max="2009" width="2.7109375" style="34" customWidth="1"/>
    <col min="2010" max="2010" width="17.5703125" style="34" customWidth="1"/>
    <col min="2011" max="2011" width="13.7109375" style="34" customWidth="1"/>
    <col min="2012" max="2012" width="3.7109375" style="34" customWidth="1"/>
    <col min="2013" max="2013" width="9" style="34" customWidth="1"/>
    <col min="2014" max="2014" width="11.85546875" style="34" customWidth="1"/>
    <col min="2015" max="2015" width="9.5703125" style="34" customWidth="1"/>
    <col min="2016" max="2016" width="10.5703125" style="34" customWidth="1"/>
    <col min="2017" max="2017" width="1.5703125" style="34" customWidth="1"/>
    <col min="2018" max="2018" width="15.85546875" style="34" bestFit="1" customWidth="1"/>
    <col min="2019" max="2019" width="6.42578125" style="34" customWidth="1"/>
    <col min="2020" max="2020" width="8.28515625" style="34" customWidth="1"/>
    <col min="2021" max="2021" width="6.42578125" style="34" customWidth="1"/>
    <col min="2022" max="2022" width="4.28515625" style="34" customWidth="1"/>
    <col min="2023" max="2026" width="0" style="34" hidden="1" customWidth="1"/>
    <col min="2027" max="2027" width="5.42578125" style="34" customWidth="1"/>
    <col min="2028" max="2245" width="11.42578125" style="34"/>
    <col min="2246" max="2246" width="38.5703125" style="34" customWidth="1"/>
    <col min="2247" max="2247" width="11.5703125" style="34" customWidth="1"/>
    <col min="2248" max="2248" width="12.42578125" style="34" customWidth="1"/>
    <col min="2249" max="2249" width="10.140625" style="34" bestFit="1" customWidth="1"/>
    <col min="2250" max="2250" width="13.28515625" style="34" customWidth="1"/>
    <col min="2251" max="2251" width="10.140625" style="34" bestFit="1" customWidth="1"/>
    <col min="2252" max="2252" width="16.28515625" style="34" customWidth="1"/>
    <col min="2253" max="2253" width="11.5703125" style="34" customWidth="1"/>
    <col min="2254" max="2254" width="10.140625" style="34" bestFit="1" customWidth="1"/>
    <col min="2255" max="2255" width="16.5703125" style="34" customWidth="1"/>
    <col min="2256" max="2258" width="0" style="34" hidden="1" customWidth="1"/>
    <col min="2259" max="2259" width="20.7109375" style="34" customWidth="1"/>
    <col min="2260" max="2260" width="23.85546875" style="34" customWidth="1"/>
    <col min="2261" max="2261" width="13.140625" style="34" bestFit="1" customWidth="1"/>
    <col min="2262" max="2262" width="1.85546875" style="34" customWidth="1"/>
    <col min="2263" max="2263" width="13.140625" style="34" bestFit="1" customWidth="1"/>
    <col min="2264" max="2264" width="15" style="34" customWidth="1"/>
    <col min="2265" max="2265" width="2.7109375" style="34" customWidth="1"/>
    <col min="2266" max="2266" width="17.5703125" style="34" customWidth="1"/>
    <col min="2267" max="2267" width="13.7109375" style="34" customWidth="1"/>
    <col min="2268" max="2268" width="3.7109375" style="34" customWidth="1"/>
    <col min="2269" max="2269" width="9" style="34" customWidth="1"/>
    <col min="2270" max="2270" width="11.85546875" style="34" customWidth="1"/>
    <col min="2271" max="2271" width="9.5703125" style="34" customWidth="1"/>
    <col min="2272" max="2272" width="10.5703125" style="34" customWidth="1"/>
    <col min="2273" max="2273" width="1.5703125" style="34" customWidth="1"/>
    <col min="2274" max="2274" width="15.85546875" style="34" bestFit="1" customWidth="1"/>
    <col min="2275" max="2275" width="6.42578125" style="34" customWidth="1"/>
    <col min="2276" max="2276" width="8.28515625" style="34" customWidth="1"/>
    <col min="2277" max="2277" width="6.42578125" style="34" customWidth="1"/>
    <col min="2278" max="2278" width="4.28515625" style="34" customWidth="1"/>
    <col min="2279" max="2282" width="0" style="34" hidden="1" customWidth="1"/>
    <col min="2283" max="2283" width="5.42578125" style="34" customWidth="1"/>
    <col min="2284" max="2501" width="11.42578125" style="34"/>
    <col min="2502" max="2502" width="38.5703125" style="34" customWidth="1"/>
    <col min="2503" max="2503" width="11.5703125" style="34" customWidth="1"/>
    <col min="2504" max="2504" width="12.42578125" style="34" customWidth="1"/>
    <col min="2505" max="2505" width="10.140625" style="34" bestFit="1" customWidth="1"/>
    <col min="2506" max="2506" width="13.28515625" style="34" customWidth="1"/>
    <col min="2507" max="2507" width="10.140625" style="34" bestFit="1" customWidth="1"/>
    <col min="2508" max="2508" width="16.28515625" style="34" customWidth="1"/>
    <col min="2509" max="2509" width="11.5703125" style="34" customWidth="1"/>
    <col min="2510" max="2510" width="10.140625" style="34" bestFit="1" customWidth="1"/>
    <col min="2511" max="2511" width="16.5703125" style="34" customWidth="1"/>
    <col min="2512" max="2514" width="0" style="34" hidden="1" customWidth="1"/>
    <col min="2515" max="2515" width="20.7109375" style="34" customWidth="1"/>
    <col min="2516" max="2516" width="23.85546875" style="34" customWidth="1"/>
    <col min="2517" max="2517" width="13.140625" style="34" bestFit="1" customWidth="1"/>
    <col min="2518" max="2518" width="1.85546875" style="34" customWidth="1"/>
    <col min="2519" max="2519" width="13.140625" style="34" bestFit="1" customWidth="1"/>
    <col min="2520" max="2520" width="15" style="34" customWidth="1"/>
    <col min="2521" max="2521" width="2.7109375" style="34" customWidth="1"/>
    <col min="2522" max="2522" width="17.5703125" style="34" customWidth="1"/>
    <col min="2523" max="2523" width="13.7109375" style="34" customWidth="1"/>
    <col min="2524" max="2524" width="3.7109375" style="34" customWidth="1"/>
    <col min="2525" max="2525" width="9" style="34" customWidth="1"/>
    <col min="2526" max="2526" width="11.85546875" style="34" customWidth="1"/>
    <col min="2527" max="2527" width="9.5703125" style="34" customWidth="1"/>
    <col min="2528" max="2528" width="10.5703125" style="34" customWidth="1"/>
    <col min="2529" max="2529" width="1.5703125" style="34" customWidth="1"/>
    <col min="2530" max="2530" width="15.85546875" style="34" bestFit="1" customWidth="1"/>
    <col min="2531" max="2531" width="6.42578125" style="34" customWidth="1"/>
    <col min="2532" max="2532" width="8.28515625" style="34" customWidth="1"/>
    <col min="2533" max="2533" width="6.42578125" style="34" customWidth="1"/>
    <col min="2534" max="2534" width="4.28515625" style="34" customWidth="1"/>
    <col min="2535" max="2538" width="0" style="34" hidden="1" customWidth="1"/>
    <col min="2539" max="2539" width="5.42578125" style="34" customWidth="1"/>
    <col min="2540" max="2757" width="11.42578125" style="34"/>
    <col min="2758" max="2758" width="38.5703125" style="34" customWidth="1"/>
    <col min="2759" max="2759" width="11.5703125" style="34" customWidth="1"/>
    <col min="2760" max="2760" width="12.42578125" style="34" customWidth="1"/>
    <col min="2761" max="2761" width="10.140625" style="34" bestFit="1" customWidth="1"/>
    <col min="2762" max="2762" width="13.28515625" style="34" customWidth="1"/>
    <col min="2763" max="2763" width="10.140625" style="34" bestFit="1" customWidth="1"/>
    <col min="2764" max="2764" width="16.28515625" style="34" customWidth="1"/>
    <col min="2765" max="2765" width="11.5703125" style="34" customWidth="1"/>
    <col min="2766" max="2766" width="10.140625" style="34" bestFit="1" customWidth="1"/>
    <col min="2767" max="2767" width="16.5703125" style="34" customWidth="1"/>
    <col min="2768" max="2770" width="0" style="34" hidden="1" customWidth="1"/>
    <col min="2771" max="2771" width="20.7109375" style="34" customWidth="1"/>
    <col min="2772" max="2772" width="23.85546875" style="34" customWidth="1"/>
    <col min="2773" max="2773" width="13.140625" style="34" bestFit="1" customWidth="1"/>
    <col min="2774" max="2774" width="1.85546875" style="34" customWidth="1"/>
    <col min="2775" max="2775" width="13.140625" style="34" bestFit="1" customWidth="1"/>
    <col min="2776" max="2776" width="15" style="34" customWidth="1"/>
    <col min="2777" max="2777" width="2.7109375" style="34" customWidth="1"/>
    <col min="2778" max="2778" width="17.5703125" style="34" customWidth="1"/>
    <col min="2779" max="2779" width="13.7109375" style="34" customWidth="1"/>
    <col min="2780" max="2780" width="3.7109375" style="34" customWidth="1"/>
    <col min="2781" max="2781" width="9" style="34" customWidth="1"/>
    <col min="2782" max="2782" width="11.85546875" style="34" customWidth="1"/>
    <col min="2783" max="2783" width="9.5703125" style="34" customWidth="1"/>
    <col min="2784" max="2784" width="10.5703125" style="34" customWidth="1"/>
    <col min="2785" max="2785" width="1.5703125" style="34" customWidth="1"/>
    <col min="2786" max="2786" width="15.85546875" style="34" bestFit="1" customWidth="1"/>
    <col min="2787" max="2787" width="6.42578125" style="34" customWidth="1"/>
    <col min="2788" max="2788" width="8.28515625" style="34" customWidth="1"/>
    <col min="2789" max="2789" width="6.42578125" style="34" customWidth="1"/>
    <col min="2790" max="2790" width="4.28515625" style="34" customWidth="1"/>
    <col min="2791" max="2794" width="0" style="34" hidden="1" customWidth="1"/>
    <col min="2795" max="2795" width="5.42578125" style="34" customWidth="1"/>
    <col min="2796" max="3013" width="11.42578125" style="34"/>
    <col min="3014" max="3014" width="38.5703125" style="34" customWidth="1"/>
    <col min="3015" max="3015" width="11.5703125" style="34" customWidth="1"/>
    <col min="3016" max="3016" width="12.42578125" style="34" customWidth="1"/>
    <col min="3017" max="3017" width="10.140625" style="34" bestFit="1" customWidth="1"/>
    <col min="3018" max="3018" width="13.28515625" style="34" customWidth="1"/>
    <col min="3019" max="3019" width="10.140625" style="34" bestFit="1" customWidth="1"/>
    <col min="3020" max="3020" width="16.28515625" style="34" customWidth="1"/>
    <col min="3021" max="3021" width="11.5703125" style="34" customWidth="1"/>
    <col min="3022" max="3022" width="10.140625" style="34" bestFit="1" customWidth="1"/>
    <col min="3023" max="3023" width="16.5703125" style="34" customWidth="1"/>
    <col min="3024" max="3026" width="0" style="34" hidden="1" customWidth="1"/>
    <col min="3027" max="3027" width="20.7109375" style="34" customWidth="1"/>
    <col min="3028" max="3028" width="23.85546875" style="34" customWidth="1"/>
    <col min="3029" max="3029" width="13.140625" style="34" bestFit="1" customWidth="1"/>
    <col min="3030" max="3030" width="1.85546875" style="34" customWidth="1"/>
    <col min="3031" max="3031" width="13.140625" style="34" bestFit="1" customWidth="1"/>
    <col min="3032" max="3032" width="15" style="34" customWidth="1"/>
    <col min="3033" max="3033" width="2.7109375" style="34" customWidth="1"/>
    <col min="3034" max="3034" width="17.5703125" style="34" customWidth="1"/>
    <col min="3035" max="3035" width="13.7109375" style="34" customWidth="1"/>
    <col min="3036" max="3036" width="3.7109375" style="34" customWidth="1"/>
    <col min="3037" max="3037" width="9" style="34" customWidth="1"/>
    <col min="3038" max="3038" width="11.85546875" style="34" customWidth="1"/>
    <col min="3039" max="3039" width="9.5703125" style="34" customWidth="1"/>
    <col min="3040" max="3040" width="10.5703125" style="34" customWidth="1"/>
    <col min="3041" max="3041" width="1.5703125" style="34" customWidth="1"/>
    <col min="3042" max="3042" width="15.85546875" style="34" bestFit="1" customWidth="1"/>
    <col min="3043" max="3043" width="6.42578125" style="34" customWidth="1"/>
    <col min="3044" max="3044" width="8.28515625" style="34" customWidth="1"/>
    <col min="3045" max="3045" width="6.42578125" style="34" customWidth="1"/>
    <col min="3046" max="3046" width="4.28515625" style="34" customWidth="1"/>
    <col min="3047" max="3050" width="0" style="34" hidden="1" customWidth="1"/>
    <col min="3051" max="3051" width="5.42578125" style="34" customWidth="1"/>
    <col min="3052" max="3269" width="11.42578125" style="34"/>
    <col min="3270" max="3270" width="38.5703125" style="34" customWidth="1"/>
    <col min="3271" max="3271" width="11.5703125" style="34" customWidth="1"/>
    <col min="3272" max="3272" width="12.42578125" style="34" customWidth="1"/>
    <col min="3273" max="3273" width="10.140625" style="34" bestFit="1" customWidth="1"/>
    <col min="3274" max="3274" width="13.28515625" style="34" customWidth="1"/>
    <col min="3275" max="3275" width="10.140625" style="34" bestFit="1" customWidth="1"/>
    <col min="3276" max="3276" width="16.28515625" style="34" customWidth="1"/>
    <col min="3277" max="3277" width="11.5703125" style="34" customWidth="1"/>
    <col min="3278" max="3278" width="10.140625" style="34" bestFit="1" customWidth="1"/>
    <col min="3279" max="3279" width="16.5703125" style="34" customWidth="1"/>
    <col min="3280" max="3282" width="0" style="34" hidden="1" customWidth="1"/>
    <col min="3283" max="3283" width="20.7109375" style="34" customWidth="1"/>
    <col min="3284" max="3284" width="23.85546875" style="34" customWidth="1"/>
    <col min="3285" max="3285" width="13.140625" style="34" bestFit="1" customWidth="1"/>
    <col min="3286" max="3286" width="1.85546875" style="34" customWidth="1"/>
    <col min="3287" max="3287" width="13.140625" style="34" bestFit="1" customWidth="1"/>
    <col min="3288" max="3288" width="15" style="34" customWidth="1"/>
    <col min="3289" max="3289" width="2.7109375" style="34" customWidth="1"/>
    <col min="3290" max="3290" width="17.5703125" style="34" customWidth="1"/>
    <col min="3291" max="3291" width="13.7109375" style="34" customWidth="1"/>
    <col min="3292" max="3292" width="3.7109375" style="34" customWidth="1"/>
    <col min="3293" max="3293" width="9" style="34" customWidth="1"/>
    <col min="3294" max="3294" width="11.85546875" style="34" customWidth="1"/>
    <col min="3295" max="3295" width="9.5703125" style="34" customWidth="1"/>
    <col min="3296" max="3296" width="10.5703125" style="34" customWidth="1"/>
    <col min="3297" max="3297" width="1.5703125" style="34" customWidth="1"/>
    <col min="3298" max="3298" width="15.85546875" style="34" bestFit="1" customWidth="1"/>
    <col min="3299" max="3299" width="6.42578125" style="34" customWidth="1"/>
    <col min="3300" max="3300" width="8.28515625" style="34" customWidth="1"/>
    <col min="3301" max="3301" width="6.42578125" style="34" customWidth="1"/>
    <col min="3302" max="3302" width="4.28515625" style="34" customWidth="1"/>
    <col min="3303" max="3306" width="0" style="34" hidden="1" customWidth="1"/>
    <col min="3307" max="3307" width="5.42578125" style="34" customWidth="1"/>
    <col min="3308" max="3525" width="11.42578125" style="34"/>
    <col min="3526" max="3526" width="38.5703125" style="34" customWidth="1"/>
    <col min="3527" max="3527" width="11.5703125" style="34" customWidth="1"/>
    <col min="3528" max="3528" width="12.42578125" style="34" customWidth="1"/>
    <col min="3529" max="3529" width="10.140625" style="34" bestFit="1" customWidth="1"/>
    <col min="3530" max="3530" width="13.28515625" style="34" customWidth="1"/>
    <col min="3531" max="3531" width="10.140625" style="34" bestFit="1" customWidth="1"/>
    <col min="3532" max="3532" width="16.28515625" style="34" customWidth="1"/>
    <col min="3533" max="3533" width="11.5703125" style="34" customWidth="1"/>
    <col min="3534" max="3534" width="10.140625" style="34" bestFit="1" customWidth="1"/>
    <col min="3535" max="3535" width="16.5703125" style="34" customWidth="1"/>
    <col min="3536" max="3538" width="0" style="34" hidden="1" customWidth="1"/>
    <col min="3539" max="3539" width="20.7109375" style="34" customWidth="1"/>
    <col min="3540" max="3540" width="23.85546875" style="34" customWidth="1"/>
    <col min="3541" max="3541" width="13.140625" style="34" bestFit="1" customWidth="1"/>
    <col min="3542" max="3542" width="1.85546875" style="34" customWidth="1"/>
    <col min="3543" max="3543" width="13.140625" style="34" bestFit="1" customWidth="1"/>
    <col min="3544" max="3544" width="15" style="34" customWidth="1"/>
    <col min="3545" max="3545" width="2.7109375" style="34" customWidth="1"/>
    <col min="3546" max="3546" width="17.5703125" style="34" customWidth="1"/>
    <col min="3547" max="3547" width="13.7109375" style="34" customWidth="1"/>
    <col min="3548" max="3548" width="3.7109375" style="34" customWidth="1"/>
    <col min="3549" max="3549" width="9" style="34" customWidth="1"/>
    <col min="3550" max="3550" width="11.85546875" style="34" customWidth="1"/>
    <col min="3551" max="3551" width="9.5703125" style="34" customWidth="1"/>
    <col min="3552" max="3552" width="10.5703125" style="34" customWidth="1"/>
    <col min="3553" max="3553" width="1.5703125" style="34" customWidth="1"/>
    <col min="3554" max="3554" width="15.85546875" style="34" bestFit="1" customWidth="1"/>
    <col min="3555" max="3555" width="6.42578125" style="34" customWidth="1"/>
    <col min="3556" max="3556" width="8.28515625" style="34" customWidth="1"/>
    <col min="3557" max="3557" width="6.42578125" style="34" customWidth="1"/>
    <col min="3558" max="3558" width="4.28515625" style="34" customWidth="1"/>
    <col min="3559" max="3562" width="0" style="34" hidden="1" customWidth="1"/>
    <col min="3563" max="3563" width="5.42578125" style="34" customWidth="1"/>
    <col min="3564" max="3781" width="11.42578125" style="34"/>
    <col min="3782" max="3782" width="38.5703125" style="34" customWidth="1"/>
    <col min="3783" max="3783" width="11.5703125" style="34" customWidth="1"/>
    <col min="3784" max="3784" width="12.42578125" style="34" customWidth="1"/>
    <col min="3785" max="3785" width="10.140625" style="34" bestFit="1" customWidth="1"/>
    <col min="3786" max="3786" width="13.28515625" style="34" customWidth="1"/>
    <col min="3787" max="3787" width="10.140625" style="34" bestFit="1" customWidth="1"/>
    <col min="3788" max="3788" width="16.28515625" style="34" customWidth="1"/>
    <col min="3789" max="3789" width="11.5703125" style="34" customWidth="1"/>
    <col min="3790" max="3790" width="10.140625" style="34" bestFit="1" customWidth="1"/>
    <col min="3791" max="3791" width="16.5703125" style="34" customWidth="1"/>
    <col min="3792" max="3794" width="0" style="34" hidden="1" customWidth="1"/>
    <col min="3795" max="3795" width="20.7109375" style="34" customWidth="1"/>
    <col min="3796" max="3796" width="23.85546875" style="34" customWidth="1"/>
    <col min="3797" max="3797" width="13.140625" style="34" bestFit="1" customWidth="1"/>
    <col min="3798" max="3798" width="1.85546875" style="34" customWidth="1"/>
    <col min="3799" max="3799" width="13.140625" style="34" bestFit="1" customWidth="1"/>
    <col min="3800" max="3800" width="15" style="34" customWidth="1"/>
    <col min="3801" max="3801" width="2.7109375" style="34" customWidth="1"/>
    <col min="3802" max="3802" width="17.5703125" style="34" customWidth="1"/>
    <col min="3803" max="3803" width="13.7109375" style="34" customWidth="1"/>
    <col min="3804" max="3804" width="3.7109375" style="34" customWidth="1"/>
    <col min="3805" max="3805" width="9" style="34" customWidth="1"/>
    <col min="3806" max="3806" width="11.85546875" style="34" customWidth="1"/>
    <col min="3807" max="3807" width="9.5703125" style="34" customWidth="1"/>
    <col min="3808" max="3808" width="10.5703125" style="34" customWidth="1"/>
    <col min="3809" max="3809" width="1.5703125" style="34" customWidth="1"/>
    <col min="3810" max="3810" width="15.85546875" style="34" bestFit="1" customWidth="1"/>
    <col min="3811" max="3811" width="6.42578125" style="34" customWidth="1"/>
    <col min="3812" max="3812" width="8.28515625" style="34" customWidth="1"/>
    <col min="3813" max="3813" width="6.42578125" style="34" customWidth="1"/>
    <col min="3814" max="3814" width="4.28515625" style="34" customWidth="1"/>
    <col min="3815" max="3818" width="0" style="34" hidden="1" customWidth="1"/>
    <col min="3819" max="3819" width="5.42578125" style="34" customWidth="1"/>
    <col min="3820" max="4037" width="11.42578125" style="34"/>
    <col min="4038" max="4038" width="38.5703125" style="34" customWidth="1"/>
    <col min="4039" max="4039" width="11.5703125" style="34" customWidth="1"/>
    <col min="4040" max="4040" width="12.42578125" style="34" customWidth="1"/>
    <col min="4041" max="4041" width="10.140625" style="34" bestFit="1" customWidth="1"/>
    <col min="4042" max="4042" width="13.28515625" style="34" customWidth="1"/>
    <col min="4043" max="4043" width="10.140625" style="34" bestFit="1" customWidth="1"/>
    <col min="4044" max="4044" width="16.28515625" style="34" customWidth="1"/>
    <col min="4045" max="4045" width="11.5703125" style="34" customWidth="1"/>
    <col min="4046" max="4046" width="10.140625" style="34" bestFit="1" customWidth="1"/>
    <col min="4047" max="4047" width="16.5703125" style="34" customWidth="1"/>
    <col min="4048" max="4050" width="0" style="34" hidden="1" customWidth="1"/>
    <col min="4051" max="4051" width="20.7109375" style="34" customWidth="1"/>
    <col min="4052" max="4052" width="23.85546875" style="34" customWidth="1"/>
    <col min="4053" max="4053" width="13.140625" style="34" bestFit="1" customWidth="1"/>
    <col min="4054" max="4054" width="1.85546875" style="34" customWidth="1"/>
    <col min="4055" max="4055" width="13.140625" style="34" bestFit="1" customWidth="1"/>
    <col min="4056" max="4056" width="15" style="34" customWidth="1"/>
    <col min="4057" max="4057" width="2.7109375" style="34" customWidth="1"/>
    <col min="4058" max="4058" width="17.5703125" style="34" customWidth="1"/>
    <col min="4059" max="4059" width="13.7109375" style="34" customWidth="1"/>
    <col min="4060" max="4060" width="3.7109375" style="34" customWidth="1"/>
    <col min="4061" max="4061" width="9" style="34" customWidth="1"/>
    <col min="4062" max="4062" width="11.85546875" style="34" customWidth="1"/>
    <col min="4063" max="4063" width="9.5703125" style="34" customWidth="1"/>
    <col min="4064" max="4064" width="10.5703125" style="34" customWidth="1"/>
    <col min="4065" max="4065" width="1.5703125" style="34" customWidth="1"/>
    <col min="4066" max="4066" width="15.85546875" style="34" bestFit="1" customWidth="1"/>
    <col min="4067" max="4067" width="6.42578125" style="34" customWidth="1"/>
    <col min="4068" max="4068" width="8.28515625" style="34" customWidth="1"/>
    <col min="4069" max="4069" width="6.42578125" style="34" customWidth="1"/>
    <col min="4070" max="4070" width="4.28515625" style="34" customWidth="1"/>
    <col min="4071" max="4074" width="0" style="34" hidden="1" customWidth="1"/>
    <col min="4075" max="4075" width="5.42578125" style="34" customWidth="1"/>
    <col min="4076" max="4293" width="11.42578125" style="34"/>
    <col min="4294" max="4294" width="38.5703125" style="34" customWidth="1"/>
    <col min="4295" max="4295" width="11.5703125" style="34" customWidth="1"/>
    <col min="4296" max="4296" width="12.42578125" style="34" customWidth="1"/>
    <col min="4297" max="4297" width="10.140625" style="34" bestFit="1" customWidth="1"/>
    <col min="4298" max="4298" width="13.28515625" style="34" customWidth="1"/>
    <col min="4299" max="4299" width="10.140625" style="34" bestFit="1" customWidth="1"/>
    <col min="4300" max="4300" width="16.28515625" style="34" customWidth="1"/>
    <col min="4301" max="4301" width="11.5703125" style="34" customWidth="1"/>
    <col min="4302" max="4302" width="10.140625" style="34" bestFit="1" customWidth="1"/>
    <col min="4303" max="4303" width="16.5703125" style="34" customWidth="1"/>
    <col min="4304" max="4306" width="0" style="34" hidden="1" customWidth="1"/>
    <col min="4307" max="4307" width="20.7109375" style="34" customWidth="1"/>
    <col min="4308" max="4308" width="23.85546875" style="34" customWidth="1"/>
    <col min="4309" max="4309" width="13.140625" style="34" bestFit="1" customWidth="1"/>
    <col min="4310" max="4310" width="1.85546875" style="34" customWidth="1"/>
    <col min="4311" max="4311" width="13.140625" style="34" bestFit="1" customWidth="1"/>
    <col min="4312" max="4312" width="15" style="34" customWidth="1"/>
    <col min="4313" max="4313" width="2.7109375" style="34" customWidth="1"/>
    <col min="4314" max="4314" width="17.5703125" style="34" customWidth="1"/>
    <col min="4315" max="4315" width="13.7109375" style="34" customWidth="1"/>
    <col min="4316" max="4316" width="3.7109375" style="34" customWidth="1"/>
    <col min="4317" max="4317" width="9" style="34" customWidth="1"/>
    <col min="4318" max="4318" width="11.85546875" style="34" customWidth="1"/>
    <col min="4319" max="4319" width="9.5703125" style="34" customWidth="1"/>
    <col min="4320" max="4320" width="10.5703125" style="34" customWidth="1"/>
    <col min="4321" max="4321" width="1.5703125" style="34" customWidth="1"/>
    <col min="4322" max="4322" width="15.85546875" style="34" bestFit="1" customWidth="1"/>
    <col min="4323" max="4323" width="6.42578125" style="34" customWidth="1"/>
    <col min="4324" max="4324" width="8.28515625" style="34" customWidth="1"/>
    <col min="4325" max="4325" width="6.42578125" style="34" customWidth="1"/>
    <col min="4326" max="4326" width="4.28515625" style="34" customWidth="1"/>
    <col min="4327" max="4330" width="0" style="34" hidden="1" customWidth="1"/>
    <col min="4331" max="4331" width="5.42578125" style="34" customWidth="1"/>
    <col min="4332" max="4549" width="11.42578125" style="34"/>
    <col min="4550" max="4550" width="38.5703125" style="34" customWidth="1"/>
    <col min="4551" max="4551" width="11.5703125" style="34" customWidth="1"/>
    <col min="4552" max="4552" width="12.42578125" style="34" customWidth="1"/>
    <col min="4553" max="4553" width="10.140625" style="34" bestFit="1" customWidth="1"/>
    <col min="4554" max="4554" width="13.28515625" style="34" customWidth="1"/>
    <col min="4555" max="4555" width="10.140625" style="34" bestFit="1" customWidth="1"/>
    <col min="4556" max="4556" width="16.28515625" style="34" customWidth="1"/>
    <col min="4557" max="4557" width="11.5703125" style="34" customWidth="1"/>
    <col min="4558" max="4558" width="10.140625" style="34" bestFit="1" customWidth="1"/>
    <col min="4559" max="4559" width="16.5703125" style="34" customWidth="1"/>
    <col min="4560" max="4562" width="0" style="34" hidden="1" customWidth="1"/>
    <col min="4563" max="4563" width="20.7109375" style="34" customWidth="1"/>
    <col min="4564" max="4564" width="23.85546875" style="34" customWidth="1"/>
    <col min="4565" max="4565" width="13.140625" style="34" bestFit="1" customWidth="1"/>
    <col min="4566" max="4566" width="1.85546875" style="34" customWidth="1"/>
    <col min="4567" max="4567" width="13.140625" style="34" bestFit="1" customWidth="1"/>
    <col min="4568" max="4568" width="15" style="34" customWidth="1"/>
    <col min="4569" max="4569" width="2.7109375" style="34" customWidth="1"/>
    <col min="4570" max="4570" width="17.5703125" style="34" customWidth="1"/>
    <col min="4571" max="4571" width="13.7109375" style="34" customWidth="1"/>
    <col min="4572" max="4572" width="3.7109375" style="34" customWidth="1"/>
    <col min="4573" max="4573" width="9" style="34" customWidth="1"/>
    <col min="4574" max="4574" width="11.85546875" style="34" customWidth="1"/>
    <col min="4575" max="4575" width="9.5703125" style="34" customWidth="1"/>
    <col min="4576" max="4576" width="10.5703125" style="34" customWidth="1"/>
    <col min="4577" max="4577" width="1.5703125" style="34" customWidth="1"/>
    <col min="4578" max="4578" width="15.85546875" style="34" bestFit="1" customWidth="1"/>
    <col min="4579" max="4579" width="6.42578125" style="34" customWidth="1"/>
    <col min="4580" max="4580" width="8.28515625" style="34" customWidth="1"/>
    <col min="4581" max="4581" width="6.42578125" style="34" customWidth="1"/>
    <col min="4582" max="4582" width="4.28515625" style="34" customWidth="1"/>
    <col min="4583" max="4586" width="0" style="34" hidden="1" customWidth="1"/>
    <col min="4587" max="4587" width="5.42578125" style="34" customWidth="1"/>
    <col min="4588" max="4805" width="11.42578125" style="34"/>
    <col min="4806" max="4806" width="38.5703125" style="34" customWidth="1"/>
    <col min="4807" max="4807" width="11.5703125" style="34" customWidth="1"/>
    <col min="4808" max="4808" width="12.42578125" style="34" customWidth="1"/>
    <col min="4809" max="4809" width="10.140625" style="34" bestFit="1" customWidth="1"/>
    <col min="4810" max="4810" width="13.28515625" style="34" customWidth="1"/>
    <col min="4811" max="4811" width="10.140625" style="34" bestFit="1" customWidth="1"/>
    <col min="4812" max="4812" width="16.28515625" style="34" customWidth="1"/>
    <col min="4813" max="4813" width="11.5703125" style="34" customWidth="1"/>
    <col min="4814" max="4814" width="10.140625" style="34" bestFit="1" customWidth="1"/>
    <col min="4815" max="4815" width="16.5703125" style="34" customWidth="1"/>
    <col min="4816" max="4818" width="0" style="34" hidden="1" customWidth="1"/>
    <col min="4819" max="4819" width="20.7109375" style="34" customWidth="1"/>
    <col min="4820" max="4820" width="23.85546875" style="34" customWidth="1"/>
    <col min="4821" max="4821" width="13.140625" style="34" bestFit="1" customWidth="1"/>
    <col min="4822" max="4822" width="1.85546875" style="34" customWidth="1"/>
    <col min="4823" max="4823" width="13.140625" style="34" bestFit="1" customWidth="1"/>
    <col min="4824" max="4824" width="15" style="34" customWidth="1"/>
    <col min="4825" max="4825" width="2.7109375" style="34" customWidth="1"/>
    <col min="4826" max="4826" width="17.5703125" style="34" customWidth="1"/>
    <col min="4827" max="4827" width="13.7109375" style="34" customWidth="1"/>
    <col min="4828" max="4828" width="3.7109375" style="34" customWidth="1"/>
    <col min="4829" max="4829" width="9" style="34" customWidth="1"/>
    <col min="4830" max="4830" width="11.85546875" style="34" customWidth="1"/>
    <col min="4831" max="4831" width="9.5703125" style="34" customWidth="1"/>
    <col min="4832" max="4832" width="10.5703125" style="34" customWidth="1"/>
    <col min="4833" max="4833" width="1.5703125" style="34" customWidth="1"/>
    <col min="4834" max="4834" width="15.85546875" style="34" bestFit="1" customWidth="1"/>
    <col min="4835" max="4835" width="6.42578125" style="34" customWidth="1"/>
    <col min="4836" max="4836" width="8.28515625" style="34" customWidth="1"/>
    <col min="4837" max="4837" width="6.42578125" style="34" customWidth="1"/>
    <col min="4838" max="4838" width="4.28515625" style="34" customWidth="1"/>
    <col min="4839" max="4842" width="0" style="34" hidden="1" customWidth="1"/>
    <col min="4843" max="4843" width="5.42578125" style="34" customWidth="1"/>
    <col min="4844" max="5061" width="11.42578125" style="34"/>
    <col min="5062" max="5062" width="38.5703125" style="34" customWidth="1"/>
    <col min="5063" max="5063" width="11.5703125" style="34" customWidth="1"/>
    <col min="5064" max="5064" width="12.42578125" style="34" customWidth="1"/>
    <col min="5065" max="5065" width="10.140625" style="34" bestFit="1" customWidth="1"/>
    <col min="5066" max="5066" width="13.28515625" style="34" customWidth="1"/>
    <col min="5067" max="5067" width="10.140625" style="34" bestFit="1" customWidth="1"/>
    <col min="5068" max="5068" width="16.28515625" style="34" customWidth="1"/>
    <col min="5069" max="5069" width="11.5703125" style="34" customWidth="1"/>
    <col min="5070" max="5070" width="10.140625" style="34" bestFit="1" customWidth="1"/>
    <col min="5071" max="5071" width="16.5703125" style="34" customWidth="1"/>
    <col min="5072" max="5074" width="0" style="34" hidden="1" customWidth="1"/>
    <col min="5075" max="5075" width="20.7109375" style="34" customWidth="1"/>
    <col min="5076" max="5076" width="23.85546875" style="34" customWidth="1"/>
    <col min="5077" max="5077" width="13.140625" style="34" bestFit="1" customWidth="1"/>
    <col min="5078" max="5078" width="1.85546875" style="34" customWidth="1"/>
    <col min="5079" max="5079" width="13.140625" style="34" bestFit="1" customWidth="1"/>
    <col min="5080" max="5080" width="15" style="34" customWidth="1"/>
    <col min="5081" max="5081" width="2.7109375" style="34" customWidth="1"/>
    <col min="5082" max="5082" width="17.5703125" style="34" customWidth="1"/>
    <col min="5083" max="5083" width="13.7109375" style="34" customWidth="1"/>
    <col min="5084" max="5084" width="3.7109375" style="34" customWidth="1"/>
    <col min="5085" max="5085" width="9" style="34" customWidth="1"/>
    <col min="5086" max="5086" width="11.85546875" style="34" customWidth="1"/>
    <col min="5087" max="5087" width="9.5703125" style="34" customWidth="1"/>
    <col min="5088" max="5088" width="10.5703125" style="34" customWidth="1"/>
    <col min="5089" max="5089" width="1.5703125" style="34" customWidth="1"/>
    <col min="5090" max="5090" width="15.85546875" style="34" bestFit="1" customWidth="1"/>
    <col min="5091" max="5091" width="6.42578125" style="34" customWidth="1"/>
    <col min="5092" max="5092" width="8.28515625" style="34" customWidth="1"/>
    <col min="5093" max="5093" width="6.42578125" style="34" customWidth="1"/>
    <col min="5094" max="5094" width="4.28515625" style="34" customWidth="1"/>
    <col min="5095" max="5098" width="0" style="34" hidden="1" customWidth="1"/>
    <col min="5099" max="5099" width="5.42578125" style="34" customWidth="1"/>
    <col min="5100" max="5317" width="11.42578125" style="34"/>
    <col min="5318" max="5318" width="38.5703125" style="34" customWidth="1"/>
    <col min="5319" max="5319" width="11.5703125" style="34" customWidth="1"/>
    <col min="5320" max="5320" width="12.42578125" style="34" customWidth="1"/>
    <col min="5321" max="5321" width="10.140625" style="34" bestFit="1" customWidth="1"/>
    <col min="5322" max="5322" width="13.28515625" style="34" customWidth="1"/>
    <col min="5323" max="5323" width="10.140625" style="34" bestFit="1" customWidth="1"/>
    <col min="5324" max="5324" width="16.28515625" style="34" customWidth="1"/>
    <col min="5325" max="5325" width="11.5703125" style="34" customWidth="1"/>
    <col min="5326" max="5326" width="10.140625" style="34" bestFit="1" customWidth="1"/>
    <col min="5327" max="5327" width="16.5703125" style="34" customWidth="1"/>
    <col min="5328" max="5330" width="0" style="34" hidden="1" customWidth="1"/>
    <col min="5331" max="5331" width="20.7109375" style="34" customWidth="1"/>
    <col min="5332" max="5332" width="23.85546875" style="34" customWidth="1"/>
    <col min="5333" max="5333" width="13.140625" style="34" bestFit="1" customWidth="1"/>
    <col min="5334" max="5334" width="1.85546875" style="34" customWidth="1"/>
    <col min="5335" max="5335" width="13.140625" style="34" bestFit="1" customWidth="1"/>
    <col min="5336" max="5336" width="15" style="34" customWidth="1"/>
    <col min="5337" max="5337" width="2.7109375" style="34" customWidth="1"/>
    <col min="5338" max="5338" width="17.5703125" style="34" customWidth="1"/>
    <col min="5339" max="5339" width="13.7109375" style="34" customWidth="1"/>
    <col min="5340" max="5340" width="3.7109375" style="34" customWidth="1"/>
    <col min="5341" max="5341" width="9" style="34" customWidth="1"/>
    <col min="5342" max="5342" width="11.85546875" style="34" customWidth="1"/>
    <col min="5343" max="5343" width="9.5703125" style="34" customWidth="1"/>
    <col min="5344" max="5344" width="10.5703125" style="34" customWidth="1"/>
    <col min="5345" max="5345" width="1.5703125" style="34" customWidth="1"/>
    <col min="5346" max="5346" width="15.85546875" style="34" bestFit="1" customWidth="1"/>
    <col min="5347" max="5347" width="6.42578125" style="34" customWidth="1"/>
    <col min="5348" max="5348" width="8.28515625" style="34" customWidth="1"/>
    <col min="5349" max="5349" width="6.42578125" style="34" customWidth="1"/>
    <col min="5350" max="5350" width="4.28515625" style="34" customWidth="1"/>
    <col min="5351" max="5354" width="0" style="34" hidden="1" customWidth="1"/>
    <col min="5355" max="5355" width="5.42578125" style="34" customWidth="1"/>
    <col min="5356" max="5573" width="11.42578125" style="34"/>
    <col min="5574" max="5574" width="38.5703125" style="34" customWidth="1"/>
    <col min="5575" max="5575" width="11.5703125" style="34" customWidth="1"/>
    <col min="5576" max="5576" width="12.42578125" style="34" customWidth="1"/>
    <col min="5577" max="5577" width="10.140625" style="34" bestFit="1" customWidth="1"/>
    <col min="5578" max="5578" width="13.28515625" style="34" customWidth="1"/>
    <col min="5579" max="5579" width="10.140625" style="34" bestFit="1" customWidth="1"/>
    <col min="5580" max="5580" width="16.28515625" style="34" customWidth="1"/>
    <col min="5581" max="5581" width="11.5703125" style="34" customWidth="1"/>
    <col min="5582" max="5582" width="10.140625" style="34" bestFit="1" customWidth="1"/>
    <col min="5583" max="5583" width="16.5703125" style="34" customWidth="1"/>
    <col min="5584" max="5586" width="0" style="34" hidden="1" customWidth="1"/>
    <col min="5587" max="5587" width="20.7109375" style="34" customWidth="1"/>
    <col min="5588" max="5588" width="23.85546875" style="34" customWidth="1"/>
    <col min="5589" max="5589" width="13.140625" style="34" bestFit="1" customWidth="1"/>
    <col min="5590" max="5590" width="1.85546875" style="34" customWidth="1"/>
    <col min="5591" max="5591" width="13.140625" style="34" bestFit="1" customWidth="1"/>
    <col min="5592" max="5592" width="15" style="34" customWidth="1"/>
    <col min="5593" max="5593" width="2.7109375" style="34" customWidth="1"/>
    <col min="5594" max="5594" width="17.5703125" style="34" customWidth="1"/>
    <col min="5595" max="5595" width="13.7109375" style="34" customWidth="1"/>
    <col min="5596" max="5596" width="3.7109375" style="34" customWidth="1"/>
    <col min="5597" max="5597" width="9" style="34" customWidth="1"/>
    <col min="5598" max="5598" width="11.85546875" style="34" customWidth="1"/>
    <col min="5599" max="5599" width="9.5703125" style="34" customWidth="1"/>
    <col min="5600" max="5600" width="10.5703125" style="34" customWidth="1"/>
    <col min="5601" max="5601" width="1.5703125" style="34" customWidth="1"/>
    <col min="5602" max="5602" width="15.85546875" style="34" bestFit="1" customWidth="1"/>
    <col min="5603" max="5603" width="6.42578125" style="34" customWidth="1"/>
    <col min="5604" max="5604" width="8.28515625" style="34" customWidth="1"/>
    <col min="5605" max="5605" width="6.42578125" style="34" customWidth="1"/>
    <col min="5606" max="5606" width="4.28515625" style="34" customWidth="1"/>
    <col min="5607" max="5610" width="0" style="34" hidden="1" customWidth="1"/>
    <col min="5611" max="5611" width="5.42578125" style="34" customWidth="1"/>
    <col min="5612" max="5829" width="11.42578125" style="34"/>
    <col min="5830" max="5830" width="38.5703125" style="34" customWidth="1"/>
    <col min="5831" max="5831" width="11.5703125" style="34" customWidth="1"/>
    <col min="5832" max="5832" width="12.42578125" style="34" customWidth="1"/>
    <col min="5833" max="5833" width="10.140625" style="34" bestFit="1" customWidth="1"/>
    <col min="5834" max="5834" width="13.28515625" style="34" customWidth="1"/>
    <col min="5835" max="5835" width="10.140625" style="34" bestFit="1" customWidth="1"/>
    <col min="5836" max="5836" width="16.28515625" style="34" customWidth="1"/>
    <col min="5837" max="5837" width="11.5703125" style="34" customWidth="1"/>
    <col min="5838" max="5838" width="10.140625" style="34" bestFit="1" customWidth="1"/>
    <col min="5839" max="5839" width="16.5703125" style="34" customWidth="1"/>
    <col min="5840" max="5842" width="0" style="34" hidden="1" customWidth="1"/>
    <col min="5843" max="5843" width="20.7109375" style="34" customWidth="1"/>
    <col min="5844" max="5844" width="23.85546875" style="34" customWidth="1"/>
    <col min="5845" max="5845" width="13.140625" style="34" bestFit="1" customWidth="1"/>
    <col min="5846" max="5846" width="1.85546875" style="34" customWidth="1"/>
    <col min="5847" max="5847" width="13.140625" style="34" bestFit="1" customWidth="1"/>
    <col min="5848" max="5848" width="15" style="34" customWidth="1"/>
    <col min="5849" max="5849" width="2.7109375" style="34" customWidth="1"/>
    <col min="5850" max="5850" width="17.5703125" style="34" customWidth="1"/>
    <col min="5851" max="5851" width="13.7109375" style="34" customWidth="1"/>
    <col min="5852" max="5852" width="3.7109375" style="34" customWidth="1"/>
    <col min="5853" max="5853" width="9" style="34" customWidth="1"/>
    <col min="5854" max="5854" width="11.85546875" style="34" customWidth="1"/>
    <col min="5855" max="5855" width="9.5703125" style="34" customWidth="1"/>
    <col min="5856" max="5856" width="10.5703125" style="34" customWidth="1"/>
    <col min="5857" max="5857" width="1.5703125" style="34" customWidth="1"/>
    <col min="5858" max="5858" width="15.85546875" style="34" bestFit="1" customWidth="1"/>
    <col min="5859" max="5859" width="6.42578125" style="34" customWidth="1"/>
    <col min="5860" max="5860" width="8.28515625" style="34" customWidth="1"/>
    <col min="5861" max="5861" width="6.42578125" style="34" customWidth="1"/>
    <col min="5862" max="5862" width="4.28515625" style="34" customWidth="1"/>
    <col min="5863" max="5866" width="0" style="34" hidden="1" customWidth="1"/>
    <col min="5867" max="5867" width="5.42578125" style="34" customWidth="1"/>
    <col min="5868" max="6085" width="11.42578125" style="34"/>
    <col min="6086" max="6086" width="38.5703125" style="34" customWidth="1"/>
    <col min="6087" max="6087" width="11.5703125" style="34" customWidth="1"/>
    <col min="6088" max="6088" width="12.42578125" style="34" customWidth="1"/>
    <col min="6089" max="6089" width="10.140625" style="34" bestFit="1" customWidth="1"/>
    <col min="6090" max="6090" width="13.28515625" style="34" customWidth="1"/>
    <col min="6091" max="6091" width="10.140625" style="34" bestFit="1" customWidth="1"/>
    <col min="6092" max="6092" width="16.28515625" style="34" customWidth="1"/>
    <col min="6093" max="6093" width="11.5703125" style="34" customWidth="1"/>
    <col min="6094" max="6094" width="10.140625" style="34" bestFit="1" customWidth="1"/>
    <col min="6095" max="6095" width="16.5703125" style="34" customWidth="1"/>
    <col min="6096" max="6098" width="0" style="34" hidden="1" customWidth="1"/>
    <col min="6099" max="6099" width="20.7109375" style="34" customWidth="1"/>
    <col min="6100" max="6100" width="23.85546875" style="34" customWidth="1"/>
    <col min="6101" max="6101" width="13.140625" style="34" bestFit="1" customWidth="1"/>
    <col min="6102" max="6102" width="1.85546875" style="34" customWidth="1"/>
    <col min="6103" max="6103" width="13.140625" style="34" bestFit="1" customWidth="1"/>
    <col min="6104" max="6104" width="15" style="34" customWidth="1"/>
    <col min="6105" max="6105" width="2.7109375" style="34" customWidth="1"/>
    <col min="6106" max="6106" width="17.5703125" style="34" customWidth="1"/>
    <col min="6107" max="6107" width="13.7109375" style="34" customWidth="1"/>
    <col min="6108" max="6108" width="3.7109375" style="34" customWidth="1"/>
    <col min="6109" max="6109" width="9" style="34" customWidth="1"/>
    <col min="6110" max="6110" width="11.85546875" style="34" customWidth="1"/>
    <col min="6111" max="6111" width="9.5703125" style="34" customWidth="1"/>
    <col min="6112" max="6112" width="10.5703125" style="34" customWidth="1"/>
    <col min="6113" max="6113" width="1.5703125" style="34" customWidth="1"/>
    <col min="6114" max="6114" width="15.85546875" style="34" bestFit="1" customWidth="1"/>
    <col min="6115" max="6115" width="6.42578125" style="34" customWidth="1"/>
    <col min="6116" max="6116" width="8.28515625" style="34" customWidth="1"/>
    <col min="6117" max="6117" width="6.42578125" style="34" customWidth="1"/>
    <col min="6118" max="6118" width="4.28515625" style="34" customWidth="1"/>
    <col min="6119" max="6122" width="0" style="34" hidden="1" customWidth="1"/>
    <col min="6123" max="6123" width="5.42578125" style="34" customWidth="1"/>
    <col min="6124" max="6341" width="11.42578125" style="34"/>
    <col min="6342" max="6342" width="38.5703125" style="34" customWidth="1"/>
    <col min="6343" max="6343" width="11.5703125" style="34" customWidth="1"/>
    <col min="6344" max="6344" width="12.42578125" style="34" customWidth="1"/>
    <col min="6345" max="6345" width="10.140625" style="34" bestFit="1" customWidth="1"/>
    <col min="6346" max="6346" width="13.28515625" style="34" customWidth="1"/>
    <col min="6347" max="6347" width="10.140625" style="34" bestFit="1" customWidth="1"/>
    <col min="6348" max="6348" width="16.28515625" style="34" customWidth="1"/>
    <col min="6349" max="6349" width="11.5703125" style="34" customWidth="1"/>
    <col min="6350" max="6350" width="10.140625" style="34" bestFit="1" customWidth="1"/>
    <col min="6351" max="6351" width="16.5703125" style="34" customWidth="1"/>
    <col min="6352" max="6354" width="0" style="34" hidden="1" customWidth="1"/>
    <col min="6355" max="6355" width="20.7109375" style="34" customWidth="1"/>
    <col min="6356" max="6356" width="23.85546875" style="34" customWidth="1"/>
    <col min="6357" max="6357" width="13.140625" style="34" bestFit="1" customWidth="1"/>
    <col min="6358" max="6358" width="1.85546875" style="34" customWidth="1"/>
    <col min="6359" max="6359" width="13.140625" style="34" bestFit="1" customWidth="1"/>
    <col min="6360" max="6360" width="15" style="34" customWidth="1"/>
    <col min="6361" max="6361" width="2.7109375" style="34" customWidth="1"/>
    <col min="6362" max="6362" width="17.5703125" style="34" customWidth="1"/>
    <col min="6363" max="6363" width="13.7109375" style="34" customWidth="1"/>
    <col min="6364" max="6364" width="3.7109375" style="34" customWidth="1"/>
    <col min="6365" max="6365" width="9" style="34" customWidth="1"/>
    <col min="6366" max="6366" width="11.85546875" style="34" customWidth="1"/>
    <col min="6367" max="6367" width="9.5703125" style="34" customWidth="1"/>
    <col min="6368" max="6368" width="10.5703125" style="34" customWidth="1"/>
    <col min="6369" max="6369" width="1.5703125" style="34" customWidth="1"/>
    <col min="6370" max="6370" width="15.85546875" style="34" bestFit="1" customWidth="1"/>
    <col min="6371" max="6371" width="6.42578125" style="34" customWidth="1"/>
    <col min="6372" max="6372" width="8.28515625" style="34" customWidth="1"/>
    <col min="6373" max="6373" width="6.42578125" style="34" customWidth="1"/>
    <col min="6374" max="6374" width="4.28515625" style="34" customWidth="1"/>
    <col min="6375" max="6378" width="0" style="34" hidden="1" customWidth="1"/>
    <col min="6379" max="6379" width="5.42578125" style="34" customWidth="1"/>
    <col min="6380" max="6597" width="11.42578125" style="34"/>
    <col min="6598" max="6598" width="38.5703125" style="34" customWidth="1"/>
    <col min="6599" max="6599" width="11.5703125" style="34" customWidth="1"/>
    <col min="6600" max="6600" width="12.42578125" style="34" customWidth="1"/>
    <col min="6601" max="6601" width="10.140625" style="34" bestFit="1" customWidth="1"/>
    <col min="6602" max="6602" width="13.28515625" style="34" customWidth="1"/>
    <col min="6603" max="6603" width="10.140625" style="34" bestFit="1" customWidth="1"/>
    <col min="6604" max="6604" width="16.28515625" style="34" customWidth="1"/>
    <col min="6605" max="6605" width="11.5703125" style="34" customWidth="1"/>
    <col min="6606" max="6606" width="10.140625" style="34" bestFit="1" customWidth="1"/>
    <col min="6607" max="6607" width="16.5703125" style="34" customWidth="1"/>
    <col min="6608" max="6610" width="0" style="34" hidden="1" customWidth="1"/>
    <col min="6611" max="6611" width="20.7109375" style="34" customWidth="1"/>
    <col min="6612" max="6612" width="23.85546875" style="34" customWidth="1"/>
    <col min="6613" max="6613" width="13.140625" style="34" bestFit="1" customWidth="1"/>
    <col min="6614" max="6614" width="1.85546875" style="34" customWidth="1"/>
    <col min="6615" max="6615" width="13.140625" style="34" bestFit="1" customWidth="1"/>
    <col min="6616" max="6616" width="15" style="34" customWidth="1"/>
    <col min="6617" max="6617" width="2.7109375" style="34" customWidth="1"/>
    <col min="6618" max="6618" width="17.5703125" style="34" customWidth="1"/>
    <col min="6619" max="6619" width="13.7109375" style="34" customWidth="1"/>
    <col min="6620" max="6620" width="3.7109375" style="34" customWidth="1"/>
    <col min="6621" max="6621" width="9" style="34" customWidth="1"/>
    <col min="6622" max="6622" width="11.85546875" style="34" customWidth="1"/>
    <col min="6623" max="6623" width="9.5703125" style="34" customWidth="1"/>
    <col min="6624" max="6624" width="10.5703125" style="34" customWidth="1"/>
    <col min="6625" max="6625" width="1.5703125" style="34" customWidth="1"/>
    <col min="6626" max="6626" width="15.85546875" style="34" bestFit="1" customWidth="1"/>
    <col min="6627" max="6627" width="6.42578125" style="34" customWidth="1"/>
    <col min="6628" max="6628" width="8.28515625" style="34" customWidth="1"/>
    <col min="6629" max="6629" width="6.42578125" style="34" customWidth="1"/>
    <col min="6630" max="6630" width="4.28515625" style="34" customWidth="1"/>
    <col min="6631" max="6634" width="0" style="34" hidden="1" customWidth="1"/>
    <col min="6635" max="6635" width="5.42578125" style="34" customWidth="1"/>
    <col min="6636" max="6853" width="11.42578125" style="34"/>
    <col min="6854" max="6854" width="38.5703125" style="34" customWidth="1"/>
    <col min="6855" max="6855" width="11.5703125" style="34" customWidth="1"/>
    <col min="6856" max="6856" width="12.42578125" style="34" customWidth="1"/>
    <col min="6857" max="6857" width="10.140625" style="34" bestFit="1" customWidth="1"/>
    <col min="6858" max="6858" width="13.28515625" style="34" customWidth="1"/>
    <col min="6859" max="6859" width="10.140625" style="34" bestFit="1" customWidth="1"/>
    <col min="6860" max="6860" width="16.28515625" style="34" customWidth="1"/>
    <col min="6861" max="6861" width="11.5703125" style="34" customWidth="1"/>
    <col min="6862" max="6862" width="10.140625" style="34" bestFit="1" customWidth="1"/>
    <col min="6863" max="6863" width="16.5703125" style="34" customWidth="1"/>
    <col min="6864" max="6866" width="0" style="34" hidden="1" customWidth="1"/>
    <col min="6867" max="6867" width="20.7109375" style="34" customWidth="1"/>
    <col min="6868" max="6868" width="23.85546875" style="34" customWidth="1"/>
    <col min="6869" max="6869" width="13.140625" style="34" bestFit="1" customWidth="1"/>
    <col min="6870" max="6870" width="1.85546875" style="34" customWidth="1"/>
    <col min="6871" max="6871" width="13.140625" style="34" bestFit="1" customWidth="1"/>
    <col min="6872" max="6872" width="15" style="34" customWidth="1"/>
    <col min="6873" max="6873" width="2.7109375" style="34" customWidth="1"/>
    <col min="6874" max="6874" width="17.5703125" style="34" customWidth="1"/>
    <col min="6875" max="6875" width="13.7109375" style="34" customWidth="1"/>
    <col min="6876" max="6876" width="3.7109375" style="34" customWidth="1"/>
    <col min="6877" max="6877" width="9" style="34" customWidth="1"/>
    <col min="6878" max="6878" width="11.85546875" style="34" customWidth="1"/>
    <col min="6879" max="6879" width="9.5703125" style="34" customWidth="1"/>
    <col min="6880" max="6880" width="10.5703125" style="34" customWidth="1"/>
    <col min="6881" max="6881" width="1.5703125" style="34" customWidth="1"/>
    <col min="6882" max="6882" width="15.85546875" style="34" bestFit="1" customWidth="1"/>
    <col min="6883" max="6883" width="6.42578125" style="34" customWidth="1"/>
    <col min="6884" max="6884" width="8.28515625" style="34" customWidth="1"/>
    <col min="6885" max="6885" width="6.42578125" style="34" customWidth="1"/>
    <col min="6886" max="6886" width="4.28515625" style="34" customWidth="1"/>
    <col min="6887" max="6890" width="0" style="34" hidden="1" customWidth="1"/>
    <col min="6891" max="6891" width="5.42578125" style="34" customWidth="1"/>
    <col min="6892" max="7109" width="11.42578125" style="34"/>
    <col min="7110" max="7110" width="38.5703125" style="34" customWidth="1"/>
    <col min="7111" max="7111" width="11.5703125" style="34" customWidth="1"/>
    <col min="7112" max="7112" width="12.42578125" style="34" customWidth="1"/>
    <col min="7113" max="7113" width="10.140625" style="34" bestFit="1" customWidth="1"/>
    <col min="7114" max="7114" width="13.28515625" style="34" customWidth="1"/>
    <col min="7115" max="7115" width="10.140625" style="34" bestFit="1" customWidth="1"/>
    <col min="7116" max="7116" width="16.28515625" style="34" customWidth="1"/>
    <col min="7117" max="7117" width="11.5703125" style="34" customWidth="1"/>
    <col min="7118" max="7118" width="10.140625" style="34" bestFit="1" customWidth="1"/>
    <col min="7119" max="7119" width="16.5703125" style="34" customWidth="1"/>
    <col min="7120" max="7122" width="0" style="34" hidden="1" customWidth="1"/>
    <col min="7123" max="7123" width="20.7109375" style="34" customWidth="1"/>
    <col min="7124" max="7124" width="23.85546875" style="34" customWidth="1"/>
    <col min="7125" max="7125" width="13.140625" style="34" bestFit="1" customWidth="1"/>
    <col min="7126" max="7126" width="1.85546875" style="34" customWidth="1"/>
    <col min="7127" max="7127" width="13.140625" style="34" bestFit="1" customWidth="1"/>
    <col min="7128" max="7128" width="15" style="34" customWidth="1"/>
    <col min="7129" max="7129" width="2.7109375" style="34" customWidth="1"/>
    <col min="7130" max="7130" width="17.5703125" style="34" customWidth="1"/>
    <col min="7131" max="7131" width="13.7109375" style="34" customWidth="1"/>
    <col min="7132" max="7132" width="3.7109375" style="34" customWidth="1"/>
    <col min="7133" max="7133" width="9" style="34" customWidth="1"/>
    <col min="7134" max="7134" width="11.85546875" style="34" customWidth="1"/>
    <col min="7135" max="7135" width="9.5703125" style="34" customWidth="1"/>
    <col min="7136" max="7136" width="10.5703125" style="34" customWidth="1"/>
    <col min="7137" max="7137" width="1.5703125" style="34" customWidth="1"/>
    <col min="7138" max="7138" width="15.85546875" style="34" bestFit="1" customWidth="1"/>
    <col min="7139" max="7139" width="6.42578125" style="34" customWidth="1"/>
    <col min="7140" max="7140" width="8.28515625" style="34" customWidth="1"/>
    <col min="7141" max="7141" width="6.42578125" style="34" customWidth="1"/>
    <col min="7142" max="7142" width="4.28515625" style="34" customWidth="1"/>
    <col min="7143" max="7146" width="0" style="34" hidden="1" customWidth="1"/>
    <col min="7147" max="7147" width="5.42578125" style="34" customWidth="1"/>
    <col min="7148" max="7365" width="11.42578125" style="34"/>
    <col min="7366" max="7366" width="38.5703125" style="34" customWidth="1"/>
    <col min="7367" max="7367" width="11.5703125" style="34" customWidth="1"/>
    <col min="7368" max="7368" width="12.42578125" style="34" customWidth="1"/>
    <col min="7369" max="7369" width="10.140625" style="34" bestFit="1" customWidth="1"/>
    <col min="7370" max="7370" width="13.28515625" style="34" customWidth="1"/>
    <col min="7371" max="7371" width="10.140625" style="34" bestFit="1" customWidth="1"/>
    <col min="7372" max="7372" width="16.28515625" style="34" customWidth="1"/>
    <col min="7373" max="7373" width="11.5703125" style="34" customWidth="1"/>
    <col min="7374" max="7374" width="10.140625" style="34" bestFit="1" customWidth="1"/>
    <col min="7375" max="7375" width="16.5703125" style="34" customWidth="1"/>
    <col min="7376" max="7378" width="0" style="34" hidden="1" customWidth="1"/>
    <col min="7379" max="7379" width="20.7109375" style="34" customWidth="1"/>
    <col min="7380" max="7380" width="23.85546875" style="34" customWidth="1"/>
    <col min="7381" max="7381" width="13.140625" style="34" bestFit="1" customWidth="1"/>
    <col min="7382" max="7382" width="1.85546875" style="34" customWidth="1"/>
    <col min="7383" max="7383" width="13.140625" style="34" bestFit="1" customWidth="1"/>
    <col min="7384" max="7384" width="15" style="34" customWidth="1"/>
    <col min="7385" max="7385" width="2.7109375" style="34" customWidth="1"/>
    <col min="7386" max="7386" width="17.5703125" style="34" customWidth="1"/>
    <col min="7387" max="7387" width="13.7109375" style="34" customWidth="1"/>
    <col min="7388" max="7388" width="3.7109375" style="34" customWidth="1"/>
    <col min="7389" max="7389" width="9" style="34" customWidth="1"/>
    <col min="7390" max="7390" width="11.85546875" style="34" customWidth="1"/>
    <col min="7391" max="7391" width="9.5703125" style="34" customWidth="1"/>
    <col min="7392" max="7392" width="10.5703125" style="34" customWidth="1"/>
    <col min="7393" max="7393" width="1.5703125" style="34" customWidth="1"/>
    <col min="7394" max="7394" width="15.85546875" style="34" bestFit="1" customWidth="1"/>
    <col min="7395" max="7395" width="6.42578125" style="34" customWidth="1"/>
    <col min="7396" max="7396" width="8.28515625" style="34" customWidth="1"/>
    <col min="7397" max="7397" width="6.42578125" style="34" customWidth="1"/>
    <col min="7398" max="7398" width="4.28515625" style="34" customWidth="1"/>
    <col min="7399" max="7402" width="0" style="34" hidden="1" customWidth="1"/>
    <col min="7403" max="7403" width="5.42578125" style="34" customWidth="1"/>
    <col min="7404" max="7621" width="11.42578125" style="34"/>
    <col min="7622" max="7622" width="38.5703125" style="34" customWidth="1"/>
    <col min="7623" max="7623" width="11.5703125" style="34" customWidth="1"/>
    <col min="7624" max="7624" width="12.42578125" style="34" customWidth="1"/>
    <col min="7625" max="7625" width="10.140625" style="34" bestFit="1" customWidth="1"/>
    <col min="7626" max="7626" width="13.28515625" style="34" customWidth="1"/>
    <col min="7627" max="7627" width="10.140625" style="34" bestFit="1" customWidth="1"/>
    <col min="7628" max="7628" width="16.28515625" style="34" customWidth="1"/>
    <col min="7629" max="7629" width="11.5703125" style="34" customWidth="1"/>
    <col min="7630" max="7630" width="10.140625" style="34" bestFit="1" customWidth="1"/>
    <col min="7631" max="7631" width="16.5703125" style="34" customWidth="1"/>
    <col min="7632" max="7634" width="0" style="34" hidden="1" customWidth="1"/>
    <col min="7635" max="7635" width="20.7109375" style="34" customWidth="1"/>
    <col min="7636" max="7636" width="23.85546875" style="34" customWidth="1"/>
    <col min="7637" max="7637" width="13.140625" style="34" bestFit="1" customWidth="1"/>
    <col min="7638" max="7638" width="1.85546875" style="34" customWidth="1"/>
    <col min="7639" max="7639" width="13.140625" style="34" bestFit="1" customWidth="1"/>
    <col min="7640" max="7640" width="15" style="34" customWidth="1"/>
    <col min="7641" max="7641" width="2.7109375" style="34" customWidth="1"/>
    <col min="7642" max="7642" width="17.5703125" style="34" customWidth="1"/>
    <col min="7643" max="7643" width="13.7109375" style="34" customWidth="1"/>
    <col min="7644" max="7644" width="3.7109375" style="34" customWidth="1"/>
    <col min="7645" max="7645" width="9" style="34" customWidth="1"/>
    <col min="7646" max="7646" width="11.85546875" style="34" customWidth="1"/>
    <col min="7647" max="7647" width="9.5703125" style="34" customWidth="1"/>
    <col min="7648" max="7648" width="10.5703125" style="34" customWidth="1"/>
    <col min="7649" max="7649" width="1.5703125" style="34" customWidth="1"/>
    <col min="7650" max="7650" width="15.85546875" style="34" bestFit="1" customWidth="1"/>
    <col min="7651" max="7651" width="6.42578125" style="34" customWidth="1"/>
    <col min="7652" max="7652" width="8.28515625" style="34" customWidth="1"/>
    <col min="7653" max="7653" width="6.42578125" style="34" customWidth="1"/>
    <col min="7654" max="7654" width="4.28515625" style="34" customWidth="1"/>
    <col min="7655" max="7658" width="0" style="34" hidden="1" customWidth="1"/>
    <col min="7659" max="7659" width="5.42578125" style="34" customWidth="1"/>
    <col min="7660" max="7877" width="11.42578125" style="34"/>
    <col min="7878" max="7878" width="38.5703125" style="34" customWidth="1"/>
    <col min="7879" max="7879" width="11.5703125" style="34" customWidth="1"/>
    <col min="7880" max="7880" width="12.42578125" style="34" customWidth="1"/>
    <col min="7881" max="7881" width="10.140625" style="34" bestFit="1" customWidth="1"/>
    <col min="7882" max="7882" width="13.28515625" style="34" customWidth="1"/>
    <col min="7883" max="7883" width="10.140625" style="34" bestFit="1" customWidth="1"/>
    <col min="7884" max="7884" width="16.28515625" style="34" customWidth="1"/>
    <col min="7885" max="7885" width="11.5703125" style="34" customWidth="1"/>
    <col min="7886" max="7886" width="10.140625" style="34" bestFit="1" customWidth="1"/>
    <col min="7887" max="7887" width="16.5703125" style="34" customWidth="1"/>
    <col min="7888" max="7890" width="0" style="34" hidden="1" customWidth="1"/>
    <col min="7891" max="7891" width="20.7109375" style="34" customWidth="1"/>
    <col min="7892" max="7892" width="23.85546875" style="34" customWidth="1"/>
    <col min="7893" max="7893" width="13.140625" style="34" bestFit="1" customWidth="1"/>
    <col min="7894" max="7894" width="1.85546875" style="34" customWidth="1"/>
    <col min="7895" max="7895" width="13.140625" style="34" bestFit="1" customWidth="1"/>
    <col min="7896" max="7896" width="15" style="34" customWidth="1"/>
    <col min="7897" max="7897" width="2.7109375" style="34" customWidth="1"/>
    <col min="7898" max="7898" width="17.5703125" style="34" customWidth="1"/>
    <col min="7899" max="7899" width="13.7109375" style="34" customWidth="1"/>
    <col min="7900" max="7900" width="3.7109375" style="34" customWidth="1"/>
    <col min="7901" max="7901" width="9" style="34" customWidth="1"/>
    <col min="7902" max="7902" width="11.85546875" style="34" customWidth="1"/>
    <col min="7903" max="7903" width="9.5703125" style="34" customWidth="1"/>
    <col min="7904" max="7904" width="10.5703125" style="34" customWidth="1"/>
    <col min="7905" max="7905" width="1.5703125" style="34" customWidth="1"/>
    <col min="7906" max="7906" width="15.85546875" style="34" bestFit="1" customWidth="1"/>
    <col min="7907" max="7907" width="6.42578125" style="34" customWidth="1"/>
    <col min="7908" max="7908" width="8.28515625" style="34" customWidth="1"/>
    <col min="7909" max="7909" width="6.42578125" style="34" customWidth="1"/>
    <col min="7910" max="7910" width="4.28515625" style="34" customWidth="1"/>
    <col min="7911" max="7914" width="0" style="34" hidden="1" customWidth="1"/>
    <col min="7915" max="7915" width="5.42578125" style="34" customWidth="1"/>
    <col min="7916" max="8133" width="11.42578125" style="34"/>
    <col min="8134" max="8134" width="38.5703125" style="34" customWidth="1"/>
    <col min="8135" max="8135" width="11.5703125" style="34" customWidth="1"/>
    <col min="8136" max="8136" width="12.42578125" style="34" customWidth="1"/>
    <col min="8137" max="8137" width="10.140625" style="34" bestFit="1" customWidth="1"/>
    <col min="8138" max="8138" width="13.28515625" style="34" customWidth="1"/>
    <col min="8139" max="8139" width="10.140625" style="34" bestFit="1" customWidth="1"/>
    <col min="8140" max="8140" width="16.28515625" style="34" customWidth="1"/>
    <col min="8141" max="8141" width="11.5703125" style="34" customWidth="1"/>
    <col min="8142" max="8142" width="10.140625" style="34" bestFit="1" customWidth="1"/>
    <col min="8143" max="8143" width="16.5703125" style="34" customWidth="1"/>
    <col min="8144" max="8146" width="0" style="34" hidden="1" customWidth="1"/>
    <col min="8147" max="8147" width="20.7109375" style="34" customWidth="1"/>
    <col min="8148" max="8148" width="23.85546875" style="34" customWidth="1"/>
    <col min="8149" max="8149" width="13.140625" style="34" bestFit="1" customWidth="1"/>
    <col min="8150" max="8150" width="1.85546875" style="34" customWidth="1"/>
    <col min="8151" max="8151" width="13.140625" style="34" bestFit="1" customWidth="1"/>
    <col min="8152" max="8152" width="15" style="34" customWidth="1"/>
    <col min="8153" max="8153" width="2.7109375" style="34" customWidth="1"/>
    <col min="8154" max="8154" width="17.5703125" style="34" customWidth="1"/>
    <col min="8155" max="8155" width="13.7109375" style="34" customWidth="1"/>
    <col min="8156" max="8156" width="3.7109375" style="34" customWidth="1"/>
    <col min="8157" max="8157" width="9" style="34" customWidth="1"/>
    <col min="8158" max="8158" width="11.85546875" style="34" customWidth="1"/>
    <col min="8159" max="8159" width="9.5703125" style="34" customWidth="1"/>
    <col min="8160" max="8160" width="10.5703125" style="34" customWidth="1"/>
    <col min="8161" max="8161" width="1.5703125" style="34" customWidth="1"/>
    <col min="8162" max="8162" width="15.85546875" style="34" bestFit="1" customWidth="1"/>
    <col min="8163" max="8163" width="6.42578125" style="34" customWidth="1"/>
    <col min="8164" max="8164" width="8.28515625" style="34" customWidth="1"/>
    <col min="8165" max="8165" width="6.42578125" style="34" customWidth="1"/>
    <col min="8166" max="8166" width="4.28515625" style="34" customWidth="1"/>
    <col min="8167" max="8170" width="0" style="34" hidden="1" customWidth="1"/>
    <col min="8171" max="8171" width="5.42578125" style="34" customWidth="1"/>
    <col min="8172" max="8389" width="11.42578125" style="34"/>
    <col min="8390" max="8390" width="38.5703125" style="34" customWidth="1"/>
    <col min="8391" max="8391" width="11.5703125" style="34" customWidth="1"/>
    <col min="8392" max="8392" width="12.42578125" style="34" customWidth="1"/>
    <col min="8393" max="8393" width="10.140625" style="34" bestFit="1" customWidth="1"/>
    <col min="8394" max="8394" width="13.28515625" style="34" customWidth="1"/>
    <col min="8395" max="8395" width="10.140625" style="34" bestFit="1" customWidth="1"/>
    <col min="8396" max="8396" width="16.28515625" style="34" customWidth="1"/>
    <col min="8397" max="8397" width="11.5703125" style="34" customWidth="1"/>
    <col min="8398" max="8398" width="10.140625" style="34" bestFit="1" customWidth="1"/>
    <col min="8399" max="8399" width="16.5703125" style="34" customWidth="1"/>
    <col min="8400" max="8402" width="0" style="34" hidden="1" customWidth="1"/>
    <col min="8403" max="8403" width="20.7109375" style="34" customWidth="1"/>
    <col min="8404" max="8404" width="23.85546875" style="34" customWidth="1"/>
    <col min="8405" max="8405" width="13.140625" style="34" bestFit="1" customWidth="1"/>
    <col min="8406" max="8406" width="1.85546875" style="34" customWidth="1"/>
    <col min="8407" max="8407" width="13.140625" style="34" bestFit="1" customWidth="1"/>
    <col min="8408" max="8408" width="15" style="34" customWidth="1"/>
    <col min="8409" max="8409" width="2.7109375" style="34" customWidth="1"/>
    <col min="8410" max="8410" width="17.5703125" style="34" customWidth="1"/>
    <col min="8411" max="8411" width="13.7109375" style="34" customWidth="1"/>
    <col min="8412" max="8412" width="3.7109375" style="34" customWidth="1"/>
    <col min="8413" max="8413" width="9" style="34" customWidth="1"/>
    <col min="8414" max="8414" width="11.85546875" style="34" customWidth="1"/>
    <col min="8415" max="8415" width="9.5703125" style="34" customWidth="1"/>
    <col min="8416" max="8416" width="10.5703125" style="34" customWidth="1"/>
    <col min="8417" max="8417" width="1.5703125" style="34" customWidth="1"/>
    <col min="8418" max="8418" width="15.85546875" style="34" bestFit="1" customWidth="1"/>
    <col min="8419" max="8419" width="6.42578125" style="34" customWidth="1"/>
    <col min="8420" max="8420" width="8.28515625" style="34" customWidth="1"/>
    <col min="8421" max="8421" width="6.42578125" style="34" customWidth="1"/>
    <col min="8422" max="8422" width="4.28515625" style="34" customWidth="1"/>
    <col min="8423" max="8426" width="0" style="34" hidden="1" customWidth="1"/>
    <col min="8427" max="8427" width="5.42578125" style="34" customWidth="1"/>
    <col min="8428" max="8645" width="11.42578125" style="34"/>
    <col min="8646" max="8646" width="38.5703125" style="34" customWidth="1"/>
    <col min="8647" max="8647" width="11.5703125" style="34" customWidth="1"/>
    <col min="8648" max="8648" width="12.42578125" style="34" customWidth="1"/>
    <col min="8649" max="8649" width="10.140625" style="34" bestFit="1" customWidth="1"/>
    <col min="8650" max="8650" width="13.28515625" style="34" customWidth="1"/>
    <col min="8651" max="8651" width="10.140625" style="34" bestFit="1" customWidth="1"/>
    <col min="8652" max="8652" width="16.28515625" style="34" customWidth="1"/>
    <col min="8653" max="8653" width="11.5703125" style="34" customWidth="1"/>
    <col min="8654" max="8654" width="10.140625" style="34" bestFit="1" customWidth="1"/>
    <col min="8655" max="8655" width="16.5703125" style="34" customWidth="1"/>
    <col min="8656" max="8658" width="0" style="34" hidden="1" customWidth="1"/>
    <col min="8659" max="8659" width="20.7109375" style="34" customWidth="1"/>
    <col min="8660" max="8660" width="23.85546875" style="34" customWidth="1"/>
    <col min="8661" max="8661" width="13.140625" style="34" bestFit="1" customWidth="1"/>
    <col min="8662" max="8662" width="1.85546875" style="34" customWidth="1"/>
    <col min="8663" max="8663" width="13.140625" style="34" bestFit="1" customWidth="1"/>
    <col min="8664" max="8664" width="15" style="34" customWidth="1"/>
    <col min="8665" max="8665" width="2.7109375" style="34" customWidth="1"/>
    <col min="8666" max="8666" width="17.5703125" style="34" customWidth="1"/>
    <col min="8667" max="8667" width="13.7109375" style="34" customWidth="1"/>
    <col min="8668" max="8668" width="3.7109375" style="34" customWidth="1"/>
    <col min="8669" max="8669" width="9" style="34" customWidth="1"/>
    <col min="8670" max="8670" width="11.85546875" style="34" customWidth="1"/>
    <col min="8671" max="8671" width="9.5703125" style="34" customWidth="1"/>
    <col min="8672" max="8672" width="10.5703125" style="34" customWidth="1"/>
    <col min="8673" max="8673" width="1.5703125" style="34" customWidth="1"/>
    <col min="8674" max="8674" width="15.85546875" style="34" bestFit="1" customWidth="1"/>
    <col min="8675" max="8675" width="6.42578125" style="34" customWidth="1"/>
    <col min="8676" max="8676" width="8.28515625" style="34" customWidth="1"/>
    <col min="8677" max="8677" width="6.42578125" style="34" customWidth="1"/>
    <col min="8678" max="8678" width="4.28515625" style="34" customWidth="1"/>
    <col min="8679" max="8682" width="0" style="34" hidden="1" customWidth="1"/>
    <col min="8683" max="8683" width="5.42578125" style="34" customWidth="1"/>
    <col min="8684" max="8901" width="11.42578125" style="34"/>
    <col min="8902" max="8902" width="38.5703125" style="34" customWidth="1"/>
    <col min="8903" max="8903" width="11.5703125" style="34" customWidth="1"/>
    <col min="8904" max="8904" width="12.42578125" style="34" customWidth="1"/>
    <col min="8905" max="8905" width="10.140625" style="34" bestFit="1" customWidth="1"/>
    <col min="8906" max="8906" width="13.28515625" style="34" customWidth="1"/>
    <col min="8907" max="8907" width="10.140625" style="34" bestFit="1" customWidth="1"/>
    <col min="8908" max="8908" width="16.28515625" style="34" customWidth="1"/>
    <col min="8909" max="8909" width="11.5703125" style="34" customWidth="1"/>
    <col min="8910" max="8910" width="10.140625" style="34" bestFit="1" customWidth="1"/>
    <col min="8911" max="8911" width="16.5703125" style="34" customWidth="1"/>
    <col min="8912" max="8914" width="0" style="34" hidden="1" customWidth="1"/>
    <col min="8915" max="8915" width="20.7109375" style="34" customWidth="1"/>
    <col min="8916" max="8916" width="23.85546875" style="34" customWidth="1"/>
    <col min="8917" max="8917" width="13.140625" style="34" bestFit="1" customWidth="1"/>
    <col min="8918" max="8918" width="1.85546875" style="34" customWidth="1"/>
    <col min="8919" max="8919" width="13.140625" style="34" bestFit="1" customWidth="1"/>
    <col min="8920" max="8920" width="15" style="34" customWidth="1"/>
    <col min="8921" max="8921" width="2.7109375" style="34" customWidth="1"/>
    <col min="8922" max="8922" width="17.5703125" style="34" customWidth="1"/>
    <col min="8923" max="8923" width="13.7109375" style="34" customWidth="1"/>
    <col min="8924" max="8924" width="3.7109375" style="34" customWidth="1"/>
    <col min="8925" max="8925" width="9" style="34" customWidth="1"/>
    <col min="8926" max="8926" width="11.85546875" style="34" customWidth="1"/>
    <col min="8927" max="8927" width="9.5703125" style="34" customWidth="1"/>
    <col min="8928" max="8928" width="10.5703125" style="34" customWidth="1"/>
    <col min="8929" max="8929" width="1.5703125" style="34" customWidth="1"/>
    <col min="8930" max="8930" width="15.85546875" style="34" bestFit="1" customWidth="1"/>
    <col min="8931" max="8931" width="6.42578125" style="34" customWidth="1"/>
    <col min="8932" max="8932" width="8.28515625" style="34" customWidth="1"/>
    <col min="8933" max="8933" width="6.42578125" style="34" customWidth="1"/>
    <col min="8934" max="8934" width="4.28515625" style="34" customWidth="1"/>
    <col min="8935" max="8938" width="0" style="34" hidden="1" customWidth="1"/>
    <col min="8939" max="8939" width="5.42578125" style="34" customWidth="1"/>
    <col min="8940" max="9157" width="11.42578125" style="34"/>
    <col min="9158" max="9158" width="38.5703125" style="34" customWidth="1"/>
    <col min="9159" max="9159" width="11.5703125" style="34" customWidth="1"/>
    <col min="9160" max="9160" width="12.42578125" style="34" customWidth="1"/>
    <col min="9161" max="9161" width="10.140625" style="34" bestFit="1" customWidth="1"/>
    <col min="9162" max="9162" width="13.28515625" style="34" customWidth="1"/>
    <col min="9163" max="9163" width="10.140625" style="34" bestFit="1" customWidth="1"/>
    <col min="9164" max="9164" width="16.28515625" style="34" customWidth="1"/>
    <col min="9165" max="9165" width="11.5703125" style="34" customWidth="1"/>
    <col min="9166" max="9166" width="10.140625" style="34" bestFit="1" customWidth="1"/>
    <col min="9167" max="9167" width="16.5703125" style="34" customWidth="1"/>
    <col min="9168" max="9170" width="0" style="34" hidden="1" customWidth="1"/>
    <col min="9171" max="9171" width="20.7109375" style="34" customWidth="1"/>
    <col min="9172" max="9172" width="23.85546875" style="34" customWidth="1"/>
    <col min="9173" max="9173" width="13.140625" style="34" bestFit="1" customWidth="1"/>
    <col min="9174" max="9174" width="1.85546875" style="34" customWidth="1"/>
    <col min="9175" max="9175" width="13.140625" style="34" bestFit="1" customWidth="1"/>
    <col min="9176" max="9176" width="15" style="34" customWidth="1"/>
    <col min="9177" max="9177" width="2.7109375" style="34" customWidth="1"/>
    <col min="9178" max="9178" width="17.5703125" style="34" customWidth="1"/>
    <col min="9179" max="9179" width="13.7109375" style="34" customWidth="1"/>
    <col min="9180" max="9180" width="3.7109375" style="34" customWidth="1"/>
    <col min="9181" max="9181" width="9" style="34" customWidth="1"/>
    <col min="9182" max="9182" width="11.85546875" style="34" customWidth="1"/>
    <col min="9183" max="9183" width="9.5703125" style="34" customWidth="1"/>
    <col min="9184" max="9184" width="10.5703125" style="34" customWidth="1"/>
    <col min="9185" max="9185" width="1.5703125" style="34" customWidth="1"/>
    <col min="9186" max="9186" width="15.85546875" style="34" bestFit="1" customWidth="1"/>
    <col min="9187" max="9187" width="6.42578125" style="34" customWidth="1"/>
    <col min="9188" max="9188" width="8.28515625" style="34" customWidth="1"/>
    <col min="9189" max="9189" width="6.42578125" style="34" customWidth="1"/>
    <col min="9190" max="9190" width="4.28515625" style="34" customWidth="1"/>
    <col min="9191" max="9194" width="0" style="34" hidden="1" customWidth="1"/>
    <col min="9195" max="9195" width="5.42578125" style="34" customWidth="1"/>
    <col min="9196" max="9413" width="11.42578125" style="34"/>
    <col min="9414" max="9414" width="38.5703125" style="34" customWidth="1"/>
    <col min="9415" max="9415" width="11.5703125" style="34" customWidth="1"/>
    <col min="9416" max="9416" width="12.42578125" style="34" customWidth="1"/>
    <col min="9417" max="9417" width="10.140625" style="34" bestFit="1" customWidth="1"/>
    <col min="9418" max="9418" width="13.28515625" style="34" customWidth="1"/>
    <col min="9419" max="9419" width="10.140625" style="34" bestFit="1" customWidth="1"/>
    <col min="9420" max="9420" width="16.28515625" style="34" customWidth="1"/>
    <col min="9421" max="9421" width="11.5703125" style="34" customWidth="1"/>
    <col min="9422" max="9422" width="10.140625" style="34" bestFit="1" customWidth="1"/>
    <col min="9423" max="9423" width="16.5703125" style="34" customWidth="1"/>
    <col min="9424" max="9426" width="0" style="34" hidden="1" customWidth="1"/>
    <col min="9427" max="9427" width="20.7109375" style="34" customWidth="1"/>
    <col min="9428" max="9428" width="23.85546875" style="34" customWidth="1"/>
    <col min="9429" max="9429" width="13.140625" style="34" bestFit="1" customWidth="1"/>
    <col min="9430" max="9430" width="1.85546875" style="34" customWidth="1"/>
    <col min="9431" max="9431" width="13.140625" style="34" bestFit="1" customWidth="1"/>
    <col min="9432" max="9432" width="15" style="34" customWidth="1"/>
    <col min="9433" max="9433" width="2.7109375" style="34" customWidth="1"/>
    <col min="9434" max="9434" width="17.5703125" style="34" customWidth="1"/>
    <col min="9435" max="9435" width="13.7109375" style="34" customWidth="1"/>
    <col min="9436" max="9436" width="3.7109375" style="34" customWidth="1"/>
    <col min="9437" max="9437" width="9" style="34" customWidth="1"/>
    <col min="9438" max="9438" width="11.85546875" style="34" customWidth="1"/>
    <col min="9439" max="9439" width="9.5703125" style="34" customWidth="1"/>
    <col min="9440" max="9440" width="10.5703125" style="34" customWidth="1"/>
    <col min="9441" max="9441" width="1.5703125" style="34" customWidth="1"/>
    <col min="9442" max="9442" width="15.85546875" style="34" bestFit="1" customWidth="1"/>
    <col min="9443" max="9443" width="6.42578125" style="34" customWidth="1"/>
    <col min="9444" max="9444" width="8.28515625" style="34" customWidth="1"/>
    <col min="9445" max="9445" width="6.42578125" style="34" customWidth="1"/>
    <col min="9446" max="9446" width="4.28515625" style="34" customWidth="1"/>
    <col min="9447" max="9450" width="0" style="34" hidden="1" customWidth="1"/>
    <col min="9451" max="9451" width="5.42578125" style="34" customWidth="1"/>
    <col min="9452" max="9669" width="11.42578125" style="34"/>
    <col min="9670" max="9670" width="38.5703125" style="34" customWidth="1"/>
    <col min="9671" max="9671" width="11.5703125" style="34" customWidth="1"/>
    <col min="9672" max="9672" width="12.42578125" style="34" customWidth="1"/>
    <col min="9673" max="9673" width="10.140625" style="34" bestFit="1" customWidth="1"/>
    <col min="9674" max="9674" width="13.28515625" style="34" customWidth="1"/>
    <col min="9675" max="9675" width="10.140625" style="34" bestFit="1" customWidth="1"/>
    <col min="9676" max="9676" width="16.28515625" style="34" customWidth="1"/>
    <col min="9677" max="9677" width="11.5703125" style="34" customWidth="1"/>
    <col min="9678" max="9678" width="10.140625" style="34" bestFit="1" customWidth="1"/>
    <col min="9679" max="9679" width="16.5703125" style="34" customWidth="1"/>
    <col min="9680" max="9682" width="0" style="34" hidden="1" customWidth="1"/>
    <col min="9683" max="9683" width="20.7109375" style="34" customWidth="1"/>
    <col min="9684" max="9684" width="23.85546875" style="34" customWidth="1"/>
    <col min="9685" max="9685" width="13.140625" style="34" bestFit="1" customWidth="1"/>
    <col min="9686" max="9686" width="1.85546875" style="34" customWidth="1"/>
    <col min="9687" max="9687" width="13.140625" style="34" bestFit="1" customWidth="1"/>
    <col min="9688" max="9688" width="15" style="34" customWidth="1"/>
    <col min="9689" max="9689" width="2.7109375" style="34" customWidth="1"/>
    <col min="9690" max="9690" width="17.5703125" style="34" customWidth="1"/>
    <col min="9691" max="9691" width="13.7109375" style="34" customWidth="1"/>
    <col min="9692" max="9692" width="3.7109375" style="34" customWidth="1"/>
    <col min="9693" max="9693" width="9" style="34" customWidth="1"/>
    <col min="9694" max="9694" width="11.85546875" style="34" customWidth="1"/>
    <col min="9695" max="9695" width="9.5703125" style="34" customWidth="1"/>
    <col min="9696" max="9696" width="10.5703125" style="34" customWidth="1"/>
    <col min="9697" max="9697" width="1.5703125" style="34" customWidth="1"/>
    <col min="9698" max="9698" width="15.85546875" style="34" bestFit="1" customWidth="1"/>
    <col min="9699" max="9699" width="6.42578125" style="34" customWidth="1"/>
    <col min="9700" max="9700" width="8.28515625" style="34" customWidth="1"/>
    <col min="9701" max="9701" width="6.42578125" style="34" customWidth="1"/>
    <col min="9702" max="9702" width="4.28515625" style="34" customWidth="1"/>
    <col min="9703" max="9706" width="0" style="34" hidden="1" customWidth="1"/>
    <col min="9707" max="9707" width="5.42578125" style="34" customWidth="1"/>
    <col min="9708" max="9925" width="11.42578125" style="34"/>
    <col min="9926" max="9926" width="38.5703125" style="34" customWidth="1"/>
    <col min="9927" max="9927" width="11.5703125" style="34" customWidth="1"/>
    <col min="9928" max="9928" width="12.42578125" style="34" customWidth="1"/>
    <col min="9929" max="9929" width="10.140625" style="34" bestFit="1" customWidth="1"/>
    <col min="9930" max="9930" width="13.28515625" style="34" customWidth="1"/>
    <col min="9931" max="9931" width="10.140625" style="34" bestFit="1" customWidth="1"/>
    <col min="9932" max="9932" width="16.28515625" style="34" customWidth="1"/>
    <col min="9933" max="9933" width="11.5703125" style="34" customWidth="1"/>
    <col min="9934" max="9934" width="10.140625" style="34" bestFit="1" customWidth="1"/>
    <col min="9935" max="9935" width="16.5703125" style="34" customWidth="1"/>
    <col min="9936" max="9938" width="0" style="34" hidden="1" customWidth="1"/>
    <col min="9939" max="9939" width="20.7109375" style="34" customWidth="1"/>
    <col min="9940" max="9940" width="23.85546875" style="34" customWidth="1"/>
    <col min="9941" max="9941" width="13.140625" style="34" bestFit="1" customWidth="1"/>
    <col min="9942" max="9942" width="1.85546875" style="34" customWidth="1"/>
    <col min="9943" max="9943" width="13.140625" style="34" bestFit="1" customWidth="1"/>
    <col min="9944" max="9944" width="15" style="34" customWidth="1"/>
    <col min="9945" max="9945" width="2.7109375" style="34" customWidth="1"/>
    <col min="9946" max="9946" width="17.5703125" style="34" customWidth="1"/>
    <col min="9947" max="9947" width="13.7109375" style="34" customWidth="1"/>
    <col min="9948" max="9948" width="3.7109375" style="34" customWidth="1"/>
    <col min="9949" max="9949" width="9" style="34" customWidth="1"/>
    <col min="9950" max="9950" width="11.85546875" style="34" customWidth="1"/>
    <col min="9951" max="9951" width="9.5703125" style="34" customWidth="1"/>
    <col min="9952" max="9952" width="10.5703125" style="34" customWidth="1"/>
    <col min="9953" max="9953" width="1.5703125" style="34" customWidth="1"/>
    <col min="9954" max="9954" width="15.85546875" style="34" bestFit="1" customWidth="1"/>
    <col min="9955" max="9955" width="6.42578125" style="34" customWidth="1"/>
    <col min="9956" max="9956" width="8.28515625" style="34" customWidth="1"/>
    <col min="9957" max="9957" width="6.42578125" style="34" customWidth="1"/>
    <col min="9958" max="9958" width="4.28515625" style="34" customWidth="1"/>
    <col min="9959" max="9962" width="0" style="34" hidden="1" customWidth="1"/>
    <col min="9963" max="9963" width="5.42578125" style="34" customWidth="1"/>
    <col min="9964" max="10181" width="11.42578125" style="34"/>
    <col min="10182" max="10182" width="38.5703125" style="34" customWidth="1"/>
    <col min="10183" max="10183" width="11.5703125" style="34" customWidth="1"/>
    <col min="10184" max="10184" width="12.42578125" style="34" customWidth="1"/>
    <col min="10185" max="10185" width="10.140625" style="34" bestFit="1" customWidth="1"/>
    <col min="10186" max="10186" width="13.28515625" style="34" customWidth="1"/>
    <col min="10187" max="10187" width="10.140625" style="34" bestFit="1" customWidth="1"/>
    <col min="10188" max="10188" width="16.28515625" style="34" customWidth="1"/>
    <col min="10189" max="10189" width="11.5703125" style="34" customWidth="1"/>
    <col min="10190" max="10190" width="10.140625" style="34" bestFit="1" customWidth="1"/>
    <col min="10191" max="10191" width="16.5703125" style="34" customWidth="1"/>
    <col min="10192" max="10194" width="0" style="34" hidden="1" customWidth="1"/>
    <col min="10195" max="10195" width="20.7109375" style="34" customWidth="1"/>
    <col min="10196" max="10196" width="23.85546875" style="34" customWidth="1"/>
    <col min="10197" max="10197" width="13.140625" style="34" bestFit="1" customWidth="1"/>
    <col min="10198" max="10198" width="1.85546875" style="34" customWidth="1"/>
    <col min="10199" max="10199" width="13.140625" style="34" bestFit="1" customWidth="1"/>
    <col min="10200" max="10200" width="15" style="34" customWidth="1"/>
    <col min="10201" max="10201" width="2.7109375" style="34" customWidth="1"/>
    <col min="10202" max="10202" width="17.5703125" style="34" customWidth="1"/>
    <col min="10203" max="10203" width="13.7109375" style="34" customWidth="1"/>
    <col min="10204" max="10204" width="3.7109375" style="34" customWidth="1"/>
    <col min="10205" max="10205" width="9" style="34" customWidth="1"/>
    <col min="10206" max="10206" width="11.85546875" style="34" customWidth="1"/>
    <col min="10207" max="10207" width="9.5703125" style="34" customWidth="1"/>
    <col min="10208" max="10208" width="10.5703125" style="34" customWidth="1"/>
    <col min="10209" max="10209" width="1.5703125" style="34" customWidth="1"/>
    <col min="10210" max="10210" width="15.85546875" style="34" bestFit="1" customWidth="1"/>
    <col min="10211" max="10211" width="6.42578125" style="34" customWidth="1"/>
    <col min="10212" max="10212" width="8.28515625" style="34" customWidth="1"/>
    <col min="10213" max="10213" width="6.42578125" style="34" customWidth="1"/>
    <col min="10214" max="10214" width="4.28515625" style="34" customWidth="1"/>
    <col min="10215" max="10218" width="0" style="34" hidden="1" customWidth="1"/>
    <col min="10219" max="10219" width="5.42578125" style="34" customWidth="1"/>
    <col min="10220" max="10437" width="11.42578125" style="34"/>
    <col min="10438" max="10438" width="38.5703125" style="34" customWidth="1"/>
    <col min="10439" max="10439" width="11.5703125" style="34" customWidth="1"/>
    <col min="10440" max="10440" width="12.42578125" style="34" customWidth="1"/>
    <col min="10441" max="10441" width="10.140625" style="34" bestFit="1" customWidth="1"/>
    <col min="10442" max="10442" width="13.28515625" style="34" customWidth="1"/>
    <col min="10443" max="10443" width="10.140625" style="34" bestFit="1" customWidth="1"/>
    <col min="10444" max="10444" width="16.28515625" style="34" customWidth="1"/>
    <col min="10445" max="10445" width="11.5703125" style="34" customWidth="1"/>
    <col min="10446" max="10446" width="10.140625" style="34" bestFit="1" customWidth="1"/>
    <col min="10447" max="10447" width="16.5703125" style="34" customWidth="1"/>
    <col min="10448" max="10450" width="0" style="34" hidden="1" customWidth="1"/>
    <col min="10451" max="10451" width="20.7109375" style="34" customWidth="1"/>
    <col min="10452" max="10452" width="23.85546875" style="34" customWidth="1"/>
    <col min="10453" max="10453" width="13.140625" style="34" bestFit="1" customWidth="1"/>
    <col min="10454" max="10454" width="1.85546875" style="34" customWidth="1"/>
    <col min="10455" max="10455" width="13.140625" style="34" bestFit="1" customWidth="1"/>
    <col min="10456" max="10456" width="15" style="34" customWidth="1"/>
    <col min="10457" max="10457" width="2.7109375" style="34" customWidth="1"/>
    <col min="10458" max="10458" width="17.5703125" style="34" customWidth="1"/>
    <col min="10459" max="10459" width="13.7109375" style="34" customWidth="1"/>
    <col min="10460" max="10460" width="3.7109375" style="34" customWidth="1"/>
    <col min="10461" max="10461" width="9" style="34" customWidth="1"/>
    <col min="10462" max="10462" width="11.85546875" style="34" customWidth="1"/>
    <col min="10463" max="10463" width="9.5703125" style="34" customWidth="1"/>
    <col min="10464" max="10464" width="10.5703125" style="34" customWidth="1"/>
    <col min="10465" max="10465" width="1.5703125" style="34" customWidth="1"/>
    <col min="10466" max="10466" width="15.85546875" style="34" bestFit="1" customWidth="1"/>
    <col min="10467" max="10467" width="6.42578125" style="34" customWidth="1"/>
    <col min="10468" max="10468" width="8.28515625" style="34" customWidth="1"/>
    <col min="10469" max="10469" width="6.42578125" style="34" customWidth="1"/>
    <col min="10470" max="10470" width="4.28515625" style="34" customWidth="1"/>
    <col min="10471" max="10474" width="0" style="34" hidden="1" customWidth="1"/>
    <col min="10475" max="10475" width="5.42578125" style="34" customWidth="1"/>
    <col min="10476" max="10693" width="11.42578125" style="34"/>
    <col min="10694" max="10694" width="38.5703125" style="34" customWidth="1"/>
    <col min="10695" max="10695" width="11.5703125" style="34" customWidth="1"/>
    <col min="10696" max="10696" width="12.42578125" style="34" customWidth="1"/>
    <col min="10697" max="10697" width="10.140625" style="34" bestFit="1" customWidth="1"/>
    <col min="10698" max="10698" width="13.28515625" style="34" customWidth="1"/>
    <col min="10699" max="10699" width="10.140625" style="34" bestFit="1" customWidth="1"/>
    <col min="10700" max="10700" width="16.28515625" style="34" customWidth="1"/>
    <col min="10701" max="10701" width="11.5703125" style="34" customWidth="1"/>
    <col min="10702" max="10702" width="10.140625" style="34" bestFit="1" customWidth="1"/>
    <col min="10703" max="10703" width="16.5703125" style="34" customWidth="1"/>
    <col min="10704" max="10706" width="0" style="34" hidden="1" customWidth="1"/>
    <col min="10707" max="10707" width="20.7109375" style="34" customWidth="1"/>
    <col min="10708" max="10708" width="23.85546875" style="34" customWidth="1"/>
    <col min="10709" max="10709" width="13.140625" style="34" bestFit="1" customWidth="1"/>
    <col min="10710" max="10710" width="1.85546875" style="34" customWidth="1"/>
    <col min="10711" max="10711" width="13.140625" style="34" bestFit="1" customWidth="1"/>
    <col min="10712" max="10712" width="15" style="34" customWidth="1"/>
    <col min="10713" max="10713" width="2.7109375" style="34" customWidth="1"/>
    <col min="10714" max="10714" width="17.5703125" style="34" customWidth="1"/>
    <col min="10715" max="10715" width="13.7109375" style="34" customWidth="1"/>
    <col min="10716" max="10716" width="3.7109375" style="34" customWidth="1"/>
    <col min="10717" max="10717" width="9" style="34" customWidth="1"/>
    <col min="10718" max="10718" width="11.85546875" style="34" customWidth="1"/>
    <col min="10719" max="10719" width="9.5703125" style="34" customWidth="1"/>
    <col min="10720" max="10720" width="10.5703125" style="34" customWidth="1"/>
    <col min="10721" max="10721" width="1.5703125" style="34" customWidth="1"/>
    <col min="10722" max="10722" width="15.85546875" style="34" bestFit="1" customWidth="1"/>
    <col min="10723" max="10723" width="6.42578125" style="34" customWidth="1"/>
    <col min="10724" max="10724" width="8.28515625" style="34" customWidth="1"/>
    <col min="10725" max="10725" width="6.42578125" style="34" customWidth="1"/>
    <col min="10726" max="10726" width="4.28515625" style="34" customWidth="1"/>
    <col min="10727" max="10730" width="0" style="34" hidden="1" customWidth="1"/>
    <col min="10731" max="10731" width="5.42578125" style="34" customWidth="1"/>
    <col min="10732" max="10949" width="11.42578125" style="34"/>
    <col min="10950" max="10950" width="38.5703125" style="34" customWidth="1"/>
    <col min="10951" max="10951" width="11.5703125" style="34" customWidth="1"/>
    <col min="10952" max="10952" width="12.42578125" style="34" customWidth="1"/>
    <col min="10953" max="10953" width="10.140625" style="34" bestFit="1" customWidth="1"/>
    <col min="10954" max="10954" width="13.28515625" style="34" customWidth="1"/>
    <col min="10955" max="10955" width="10.140625" style="34" bestFit="1" customWidth="1"/>
    <col min="10956" max="10956" width="16.28515625" style="34" customWidth="1"/>
    <col min="10957" max="10957" width="11.5703125" style="34" customWidth="1"/>
    <col min="10958" max="10958" width="10.140625" style="34" bestFit="1" customWidth="1"/>
    <col min="10959" max="10959" width="16.5703125" style="34" customWidth="1"/>
    <col min="10960" max="10962" width="0" style="34" hidden="1" customWidth="1"/>
    <col min="10963" max="10963" width="20.7109375" style="34" customWidth="1"/>
    <col min="10964" max="10964" width="23.85546875" style="34" customWidth="1"/>
    <col min="10965" max="10965" width="13.140625" style="34" bestFit="1" customWidth="1"/>
    <col min="10966" max="10966" width="1.85546875" style="34" customWidth="1"/>
    <col min="10967" max="10967" width="13.140625" style="34" bestFit="1" customWidth="1"/>
    <col min="10968" max="10968" width="15" style="34" customWidth="1"/>
    <col min="10969" max="10969" width="2.7109375" style="34" customWidth="1"/>
    <col min="10970" max="10970" width="17.5703125" style="34" customWidth="1"/>
    <col min="10971" max="10971" width="13.7109375" style="34" customWidth="1"/>
    <col min="10972" max="10972" width="3.7109375" style="34" customWidth="1"/>
    <col min="10973" max="10973" width="9" style="34" customWidth="1"/>
    <col min="10974" max="10974" width="11.85546875" style="34" customWidth="1"/>
    <col min="10975" max="10975" width="9.5703125" style="34" customWidth="1"/>
    <col min="10976" max="10976" width="10.5703125" style="34" customWidth="1"/>
    <col min="10977" max="10977" width="1.5703125" style="34" customWidth="1"/>
    <col min="10978" max="10978" width="15.85546875" style="34" bestFit="1" customWidth="1"/>
    <col min="10979" max="10979" width="6.42578125" style="34" customWidth="1"/>
    <col min="10980" max="10980" width="8.28515625" style="34" customWidth="1"/>
    <col min="10981" max="10981" width="6.42578125" style="34" customWidth="1"/>
    <col min="10982" max="10982" width="4.28515625" style="34" customWidth="1"/>
    <col min="10983" max="10986" width="0" style="34" hidden="1" customWidth="1"/>
    <col min="10987" max="10987" width="5.42578125" style="34" customWidth="1"/>
    <col min="10988" max="11205" width="11.42578125" style="34"/>
    <col min="11206" max="11206" width="38.5703125" style="34" customWidth="1"/>
    <col min="11207" max="11207" width="11.5703125" style="34" customWidth="1"/>
    <col min="11208" max="11208" width="12.42578125" style="34" customWidth="1"/>
    <col min="11209" max="11209" width="10.140625" style="34" bestFit="1" customWidth="1"/>
    <col min="11210" max="11210" width="13.28515625" style="34" customWidth="1"/>
    <col min="11211" max="11211" width="10.140625" style="34" bestFit="1" customWidth="1"/>
    <col min="11212" max="11212" width="16.28515625" style="34" customWidth="1"/>
    <col min="11213" max="11213" width="11.5703125" style="34" customWidth="1"/>
    <col min="11214" max="11214" width="10.140625" style="34" bestFit="1" customWidth="1"/>
    <col min="11215" max="11215" width="16.5703125" style="34" customWidth="1"/>
    <col min="11216" max="11218" width="0" style="34" hidden="1" customWidth="1"/>
    <col min="11219" max="11219" width="20.7109375" style="34" customWidth="1"/>
    <col min="11220" max="11220" width="23.85546875" style="34" customWidth="1"/>
    <col min="11221" max="11221" width="13.140625" style="34" bestFit="1" customWidth="1"/>
    <col min="11222" max="11222" width="1.85546875" style="34" customWidth="1"/>
    <col min="11223" max="11223" width="13.140625" style="34" bestFit="1" customWidth="1"/>
    <col min="11224" max="11224" width="15" style="34" customWidth="1"/>
    <col min="11225" max="11225" width="2.7109375" style="34" customWidth="1"/>
    <col min="11226" max="11226" width="17.5703125" style="34" customWidth="1"/>
    <col min="11227" max="11227" width="13.7109375" style="34" customWidth="1"/>
    <col min="11228" max="11228" width="3.7109375" style="34" customWidth="1"/>
    <col min="11229" max="11229" width="9" style="34" customWidth="1"/>
    <col min="11230" max="11230" width="11.85546875" style="34" customWidth="1"/>
    <col min="11231" max="11231" width="9.5703125" style="34" customWidth="1"/>
    <col min="11232" max="11232" width="10.5703125" style="34" customWidth="1"/>
    <col min="11233" max="11233" width="1.5703125" style="34" customWidth="1"/>
    <col min="11234" max="11234" width="15.85546875" style="34" bestFit="1" customWidth="1"/>
    <col min="11235" max="11235" width="6.42578125" style="34" customWidth="1"/>
    <col min="11236" max="11236" width="8.28515625" style="34" customWidth="1"/>
    <col min="11237" max="11237" width="6.42578125" style="34" customWidth="1"/>
    <col min="11238" max="11238" width="4.28515625" style="34" customWidth="1"/>
    <col min="11239" max="11242" width="0" style="34" hidden="1" customWidth="1"/>
    <col min="11243" max="11243" width="5.42578125" style="34" customWidth="1"/>
    <col min="11244" max="11461" width="11.42578125" style="34"/>
    <col min="11462" max="11462" width="38.5703125" style="34" customWidth="1"/>
    <col min="11463" max="11463" width="11.5703125" style="34" customWidth="1"/>
    <col min="11464" max="11464" width="12.42578125" style="34" customWidth="1"/>
    <col min="11465" max="11465" width="10.140625" style="34" bestFit="1" customWidth="1"/>
    <col min="11466" max="11466" width="13.28515625" style="34" customWidth="1"/>
    <col min="11467" max="11467" width="10.140625" style="34" bestFit="1" customWidth="1"/>
    <col min="11468" max="11468" width="16.28515625" style="34" customWidth="1"/>
    <col min="11469" max="11469" width="11.5703125" style="34" customWidth="1"/>
    <col min="11470" max="11470" width="10.140625" style="34" bestFit="1" customWidth="1"/>
    <col min="11471" max="11471" width="16.5703125" style="34" customWidth="1"/>
    <col min="11472" max="11474" width="0" style="34" hidden="1" customWidth="1"/>
    <col min="11475" max="11475" width="20.7109375" style="34" customWidth="1"/>
    <col min="11476" max="11476" width="23.85546875" style="34" customWidth="1"/>
    <col min="11477" max="11477" width="13.140625" style="34" bestFit="1" customWidth="1"/>
    <col min="11478" max="11478" width="1.85546875" style="34" customWidth="1"/>
    <col min="11479" max="11479" width="13.140625" style="34" bestFit="1" customWidth="1"/>
    <col min="11480" max="11480" width="15" style="34" customWidth="1"/>
    <col min="11481" max="11481" width="2.7109375" style="34" customWidth="1"/>
    <col min="11482" max="11482" width="17.5703125" style="34" customWidth="1"/>
    <col min="11483" max="11483" width="13.7109375" style="34" customWidth="1"/>
    <col min="11484" max="11484" width="3.7109375" style="34" customWidth="1"/>
    <col min="11485" max="11485" width="9" style="34" customWidth="1"/>
    <col min="11486" max="11486" width="11.85546875" style="34" customWidth="1"/>
    <col min="11487" max="11487" width="9.5703125" style="34" customWidth="1"/>
    <col min="11488" max="11488" width="10.5703125" style="34" customWidth="1"/>
    <col min="11489" max="11489" width="1.5703125" style="34" customWidth="1"/>
    <col min="11490" max="11490" width="15.85546875" style="34" bestFit="1" customWidth="1"/>
    <col min="11491" max="11491" width="6.42578125" style="34" customWidth="1"/>
    <col min="11492" max="11492" width="8.28515625" style="34" customWidth="1"/>
    <col min="11493" max="11493" width="6.42578125" style="34" customWidth="1"/>
    <col min="11494" max="11494" width="4.28515625" style="34" customWidth="1"/>
    <col min="11495" max="11498" width="0" style="34" hidden="1" customWidth="1"/>
    <col min="11499" max="11499" width="5.42578125" style="34" customWidth="1"/>
    <col min="11500" max="11717" width="11.42578125" style="34"/>
    <col min="11718" max="11718" width="38.5703125" style="34" customWidth="1"/>
    <col min="11719" max="11719" width="11.5703125" style="34" customWidth="1"/>
    <col min="11720" max="11720" width="12.42578125" style="34" customWidth="1"/>
    <col min="11721" max="11721" width="10.140625" style="34" bestFit="1" customWidth="1"/>
    <col min="11722" max="11722" width="13.28515625" style="34" customWidth="1"/>
    <col min="11723" max="11723" width="10.140625" style="34" bestFit="1" customWidth="1"/>
    <col min="11724" max="11724" width="16.28515625" style="34" customWidth="1"/>
    <col min="11725" max="11725" width="11.5703125" style="34" customWidth="1"/>
    <col min="11726" max="11726" width="10.140625" style="34" bestFit="1" customWidth="1"/>
    <col min="11727" max="11727" width="16.5703125" style="34" customWidth="1"/>
    <col min="11728" max="11730" width="0" style="34" hidden="1" customWidth="1"/>
    <col min="11731" max="11731" width="20.7109375" style="34" customWidth="1"/>
    <col min="11732" max="11732" width="23.85546875" style="34" customWidth="1"/>
    <col min="11733" max="11733" width="13.140625" style="34" bestFit="1" customWidth="1"/>
    <col min="11734" max="11734" width="1.85546875" style="34" customWidth="1"/>
    <col min="11735" max="11735" width="13.140625" style="34" bestFit="1" customWidth="1"/>
    <col min="11736" max="11736" width="15" style="34" customWidth="1"/>
    <col min="11737" max="11737" width="2.7109375" style="34" customWidth="1"/>
    <col min="11738" max="11738" width="17.5703125" style="34" customWidth="1"/>
    <col min="11739" max="11739" width="13.7109375" style="34" customWidth="1"/>
    <col min="11740" max="11740" width="3.7109375" style="34" customWidth="1"/>
    <col min="11741" max="11741" width="9" style="34" customWidth="1"/>
    <col min="11742" max="11742" width="11.85546875" style="34" customWidth="1"/>
    <col min="11743" max="11743" width="9.5703125" style="34" customWidth="1"/>
    <col min="11744" max="11744" width="10.5703125" style="34" customWidth="1"/>
    <col min="11745" max="11745" width="1.5703125" style="34" customWidth="1"/>
    <col min="11746" max="11746" width="15.85546875" style="34" bestFit="1" customWidth="1"/>
    <col min="11747" max="11747" width="6.42578125" style="34" customWidth="1"/>
    <col min="11748" max="11748" width="8.28515625" style="34" customWidth="1"/>
    <col min="11749" max="11749" width="6.42578125" style="34" customWidth="1"/>
    <col min="11750" max="11750" width="4.28515625" style="34" customWidth="1"/>
    <col min="11751" max="11754" width="0" style="34" hidden="1" customWidth="1"/>
    <col min="11755" max="11755" width="5.42578125" style="34" customWidth="1"/>
    <col min="11756" max="11973" width="11.42578125" style="34"/>
    <col min="11974" max="11974" width="38.5703125" style="34" customWidth="1"/>
    <col min="11975" max="11975" width="11.5703125" style="34" customWidth="1"/>
    <col min="11976" max="11976" width="12.42578125" style="34" customWidth="1"/>
    <col min="11977" max="11977" width="10.140625" style="34" bestFit="1" customWidth="1"/>
    <col min="11978" max="11978" width="13.28515625" style="34" customWidth="1"/>
    <col min="11979" max="11979" width="10.140625" style="34" bestFit="1" customWidth="1"/>
    <col min="11980" max="11980" width="16.28515625" style="34" customWidth="1"/>
    <col min="11981" max="11981" width="11.5703125" style="34" customWidth="1"/>
    <col min="11982" max="11982" width="10.140625" style="34" bestFit="1" customWidth="1"/>
    <col min="11983" max="11983" width="16.5703125" style="34" customWidth="1"/>
    <col min="11984" max="11986" width="0" style="34" hidden="1" customWidth="1"/>
    <col min="11987" max="11987" width="20.7109375" style="34" customWidth="1"/>
    <col min="11988" max="11988" width="23.85546875" style="34" customWidth="1"/>
    <col min="11989" max="11989" width="13.140625" style="34" bestFit="1" customWidth="1"/>
    <col min="11990" max="11990" width="1.85546875" style="34" customWidth="1"/>
    <col min="11991" max="11991" width="13.140625" style="34" bestFit="1" customWidth="1"/>
    <col min="11992" max="11992" width="15" style="34" customWidth="1"/>
    <col min="11993" max="11993" width="2.7109375" style="34" customWidth="1"/>
    <col min="11994" max="11994" width="17.5703125" style="34" customWidth="1"/>
    <col min="11995" max="11995" width="13.7109375" style="34" customWidth="1"/>
    <col min="11996" max="11996" width="3.7109375" style="34" customWidth="1"/>
    <col min="11997" max="11997" width="9" style="34" customWidth="1"/>
    <col min="11998" max="11998" width="11.85546875" style="34" customWidth="1"/>
    <col min="11999" max="11999" width="9.5703125" style="34" customWidth="1"/>
    <col min="12000" max="12000" width="10.5703125" style="34" customWidth="1"/>
    <col min="12001" max="12001" width="1.5703125" style="34" customWidth="1"/>
    <col min="12002" max="12002" width="15.85546875" style="34" bestFit="1" customWidth="1"/>
    <col min="12003" max="12003" width="6.42578125" style="34" customWidth="1"/>
    <col min="12004" max="12004" width="8.28515625" style="34" customWidth="1"/>
    <col min="12005" max="12005" width="6.42578125" style="34" customWidth="1"/>
    <col min="12006" max="12006" width="4.28515625" style="34" customWidth="1"/>
    <col min="12007" max="12010" width="0" style="34" hidden="1" customWidth="1"/>
    <col min="12011" max="12011" width="5.42578125" style="34" customWidth="1"/>
    <col min="12012" max="12229" width="11.42578125" style="34"/>
    <col min="12230" max="12230" width="38.5703125" style="34" customWidth="1"/>
    <col min="12231" max="12231" width="11.5703125" style="34" customWidth="1"/>
    <col min="12232" max="12232" width="12.42578125" style="34" customWidth="1"/>
    <col min="12233" max="12233" width="10.140625" style="34" bestFit="1" customWidth="1"/>
    <col min="12234" max="12234" width="13.28515625" style="34" customWidth="1"/>
    <col min="12235" max="12235" width="10.140625" style="34" bestFit="1" customWidth="1"/>
    <col min="12236" max="12236" width="16.28515625" style="34" customWidth="1"/>
    <col min="12237" max="12237" width="11.5703125" style="34" customWidth="1"/>
    <col min="12238" max="12238" width="10.140625" style="34" bestFit="1" customWidth="1"/>
    <col min="12239" max="12239" width="16.5703125" style="34" customWidth="1"/>
    <col min="12240" max="12242" width="0" style="34" hidden="1" customWidth="1"/>
    <col min="12243" max="12243" width="20.7109375" style="34" customWidth="1"/>
    <col min="12244" max="12244" width="23.85546875" style="34" customWidth="1"/>
    <col min="12245" max="12245" width="13.140625" style="34" bestFit="1" customWidth="1"/>
    <col min="12246" max="12246" width="1.85546875" style="34" customWidth="1"/>
    <col min="12247" max="12247" width="13.140625" style="34" bestFit="1" customWidth="1"/>
    <col min="12248" max="12248" width="15" style="34" customWidth="1"/>
    <col min="12249" max="12249" width="2.7109375" style="34" customWidth="1"/>
    <col min="12250" max="12250" width="17.5703125" style="34" customWidth="1"/>
    <col min="12251" max="12251" width="13.7109375" style="34" customWidth="1"/>
    <col min="12252" max="12252" width="3.7109375" style="34" customWidth="1"/>
    <col min="12253" max="12253" width="9" style="34" customWidth="1"/>
    <col min="12254" max="12254" width="11.85546875" style="34" customWidth="1"/>
    <col min="12255" max="12255" width="9.5703125" style="34" customWidth="1"/>
    <col min="12256" max="12256" width="10.5703125" style="34" customWidth="1"/>
    <col min="12257" max="12257" width="1.5703125" style="34" customWidth="1"/>
    <col min="12258" max="12258" width="15.85546875" style="34" bestFit="1" customWidth="1"/>
    <col min="12259" max="12259" width="6.42578125" style="34" customWidth="1"/>
    <col min="12260" max="12260" width="8.28515625" style="34" customWidth="1"/>
    <col min="12261" max="12261" width="6.42578125" style="34" customWidth="1"/>
    <col min="12262" max="12262" width="4.28515625" style="34" customWidth="1"/>
    <col min="12263" max="12266" width="0" style="34" hidden="1" customWidth="1"/>
    <col min="12267" max="12267" width="5.42578125" style="34" customWidth="1"/>
    <col min="12268" max="12485" width="11.42578125" style="34"/>
    <col min="12486" max="12486" width="38.5703125" style="34" customWidth="1"/>
    <col min="12487" max="12487" width="11.5703125" style="34" customWidth="1"/>
    <col min="12488" max="12488" width="12.42578125" style="34" customWidth="1"/>
    <col min="12489" max="12489" width="10.140625" style="34" bestFit="1" customWidth="1"/>
    <col min="12490" max="12490" width="13.28515625" style="34" customWidth="1"/>
    <col min="12491" max="12491" width="10.140625" style="34" bestFit="1" customWidth="1"/>
    <col min="12492" max="12492" width="16.28515625" style="34" customWidth="1"/>
    <col min="12493" max="12493" width="11.5703125" style="34" customWidth="1"/>
    <col min="12494" max="12494" width="10.140625" style="34" bestFit="1" customWidth="1"/>
    <col min="12495" max="12495" width="16.5703125" style="34" customWidth="1"/>
    <col min="12496" max="12498" width="0" style="34" hidden="1" customWidth="1"/>
    <col min="12499" max="12499" width="20.7109375" style="34" customWidth="1"/>
    <col min="12500" max="12500" width="23.85546875" style="34" customWidth="1"/>
    <col min="12501" max="12501" width="13.140625" style="34" bestFit="1" customWidth="1"/>
    <col min="12502" max="12502" width="1.85546875" style="34" customWidth="1"/>
    <col min="12503" max="12503" width="13.140625" style="34" bestFit="1" customWidth="1"/>
    <col min="12504" max="12504" width="15" style="34" customWidth="1"/>
    <col min="12505" max="12505" width="2.7109375" style="34" customWidth="1"/>
    <col min="12506" max="12506" width="17.5703125" style="34" customWidth="1"/>
    <col min="12507" max="12507" width="13.7109375" style="34" customWidth="1"/>
    <col min="12508" max="12508" width="3.7109375" style="34" customWidth="1"/>
    <col min="12509" max="12509" width="9" style="34" customWidth="1"/>
    <col min="12510" max="12510" width="11.85546875" style="34" customWidth="1"/>
    <col min="12511" max="12511" width="9.5703125" style="34" customWidth="1"/>
    <col min="12512" max="12512" width="10.5703125" style="34" customWidth="1"/>
    <col min="12513" max="12513" width="1.5703125" style="34" customWidth="1"/>
    <col min="12514" max="12514" width="15.85546875" style="34" bestFit="1" customWidth="1"/>
    <col min="12515" max="12515" width="6.42578125" style="34" customWidth="1"/>
    <col min="12516" max="12516" width="8.28515625" style="34" customWidth="1"/>
    <col min="12517" max="12517" width="6.42578125" style="34" customWidth="1"/>
    <col min="12518" max="12518" width="4.28515625" style="34" customWidth="1"/>
    <col min="12519" max="12522" width="0" style="34" hidden="1" customWidth="1"/>
    <col min="12523" max="12523" width="5.42578125" style="34" customWidth="1"/>
    <col min="12524" max="12741" width="11.42578125" style="34"/>
    <col min="12742" max="12742" width="38.5703125" style="34" customWidth="1"/>
    <col min="12743" max="12743" width="11.5703125" style="34" customWidth="1"/>
    <col min="12744" max="12744" width="12.42578125" style="34" customWidth="1"/>
    <col min="12745" max="12745" width="10.140625" style="34" bestFit="1" customWidth="1"/>
    <col min="12746" max="12746" width="13.28515625" style="34" customWidth="1"/>
    <col min="12747" max="12747" width="10.140625" style="34" bestFit="1" customWidth="1"/>
    <col min="12748" max="12748" width="16.28515625" style="34" customWidth="1"/>
    <col min="12749" max="12749" width="11.5703125" style="34" customWidth="1"/>
    <col min="12750" max="12750" width="10.140625" style="34" bestFit="1" customWidth="1"/>
    <col min="12751" max="12751" width="16.5703125" style="34" customWidth="1"/>
    <col min="12752" max="12754" width="0" style="34" hidden="1" customWidth="1"/>
    <col min="12755" max="12755" width="20.7109375" style="34" customWidth="1"/>
    <col min="12756" max="12756" width="23.85546875" style="34" customWidth="1"/>
    <col min="12757" max="12757" width="13.140625" style="34" bestFit="1" customWidth="1"/>
    <col min="12758" max="12758" width="1.85546875" style="34" customWidth="1"/>
    <col min="12759" max="12759" width="13.140625" style="34" bestFit="1" customWidth="1"/>
    <col min="12760" max="12760" width="15" style="34" customWidth="1"/>
    <col min="12761" max="12761" width="2.7109375" style="34" customWidth="1"/>
    <col min="12762" max="12762" width="17.5703125" style="34" customWidth="1"/>
    <col min="12763" max="12763" width="13.7109375" style="34" customWidth="1"/>
    <col min="12764" max="12764" width="3.7109375" style="34" customWidth="1"/>
    <col min="12765" max="12765" width="9" style="34" customWidth="1"/>
    <col min="12766" max="12766" width="11.85546875" style="34" customWidth="1"/>
    <col min="12767" max="12767" width="9.5703125" style="34" customWidth="1"/>
    <col min="12768" max="12768" width="10.5703125" style="34" customWidth="1"/>
    <col min="12769" max="12769" width="1.5703125" style="34" customWidth="1"/>
    <col min="12770" max="12770" width="15.85546875" style="34" bestFit="1" customWidth="1"/>
    <col min="12771" max="12771" width="6.42578125" style="34" customWidth="1"/>
    <col min="12772" max="12772" width="8.28515625" style="34" customWidth="1"/>
    <col min="12773" max="12773" width="6.42578125" style="34" customWidth="1"/>
    <col min="12774" max="12774" width="4.28515625" style="34" customWidth="1"/>
    <col min="12775" max="12778" width="0" style="34" hidden="1" customWidth="1"/>
    <col min="12779" max="12779" width="5.42578125" style="34" customWidth="1"/>
    <col min="12780" max="12997" width="11.42578125" style="34"/>
    <col min="12998" max="12998" width="38.5703125" style="34" customWidth="1"/>
    <col min="12999" max="12999" width="11.5703125" style="34" customWidth="1"/>
    <col min="13000" max="13000" width="12.42578125" style="34" customWidth="1"/>
    <col min="13001" max="13001" width="10.140625" style="34" bestFit="1" customWidth="1"/>
    <col min="13002" max="13002" width="13.28515625" style="34" customWidth="1"/>
    <col min="13003" max="13003" width="10.140625" style="34" bestFit="1" customWidth="1"/>
    <col min="13004" max="13004" width="16.28515625" style="34" customWidth="1"/>
    <col min="13005" max="13005" width="11.5703125" style="34" customWidth="1"/>
    <col min="13006" max="13006" width="10.140625" style="34" bestFit="1" customWidth="1"/>
    <col min="13007" max="13007" width="16.5703125" style="34" customWidth="1"/>
    <col min="13008" max="13010" width="0" style="34" hidden="1" customWidth="1"/>
    <col min="13011" max="13011" width="20.7109375" style="34" customWidth="1"/>
    <col min="13012" max="13012" width="23.85546875" style="34" customWidth="1"/>
    <col min="13013" max="13013" width="13.140625" style="34" bestFit="1" customWidth="1"/>
    <col min="13014" max="13014" width="1.85546875" style="34" customWidth="1"/>
    <col min="13015" max="13015" width="13.140625" style="34" bestFit="1" customWidth="1"/>
    <col min="13016" max="13016" width="15" style="34" customWidth="1"/>
    <col min="13017" max="13017" width="2.7109375" style="34" customWidth="1"/>
    <col min="13018" max="13018" width="17.5703125" style="34" customWidth="1"/>
    <col min="13019" max="13019" width="13.7109375" style="34" customWidth="1"/>
    <col min="13020" max="13020" width="3.7109375" style="34" customWidth="1"/>
    <col min="13021" max="13021" width="9" style="34" customWidth="1"/>
    <col min="13022" max="13022" width="11.85546875" style="34" customWidth="1"/>
    <col min="13023" max="13023" width="9.5703125" style="34" customWidth="1"/>
    <col min="13024" max="13024" width="10.5703125" style="34" customWidth="1"/>
    <col min="13025" max="13025" width="1.5703125" style="34" customWidth="1"/>
    <col min="13026" max="13026" width="15.85546875" style="34" bestFit="1" customWidth="1"/>
    <col min="13027" max="13027" width="6.42578125" style="34" customWidth="1"/>
    <col min="13028" max="13028" width="8.28515625" style="34" customWidth="1"/>
    <col min="13029" max="13029" width="6.42578125" style="34" customWidth="1"/>
    <col min="13030" max="13030" width="4.28515625" style="34" customWidth="1"/>
    <col min="13031" max="13034" width="0" style="34" hidden="1" customWidth="1"/>
    <col min="13035" max="13035" width="5.42578125" style="34" customWidth="1"/>
    <col min="13036" max="13253" width="11.42578125" style="34"/>
    <col min="13254" max="13254" width="38.5703125" style="34" customWidth="1"/>
    <col min="13255" max="13255" width="11.5703125" style="34" customWidth="1"/>
    <col min="13256" max="13256" width="12.42578125" style="34" customWidth="1"/>
    <col min="13257" max="13257" width="10.140625" style="34" bestFit="1" customWidth="1"/>
    <col min="13258" max="13258" width="13.28515625" style="34" customWidth="1"/>
    <col min="13259" max="13259" width="10.140625" style="34" bestFit="1" customWidth="1"/>
    <col min="13260" max="13260" width="16.28515625" style="34" customWidth="1"/>
    <col min="13261" max="13261" width="11.5703125" style="34" customWidth="1"/>
    <col min="13262" max="13262" width="10.140625" style="34" bestFit="1" customWidth="1"/>
    <col min="13263" max="13263" width="16.5703125" style="34" customWidth="1"/>
    <col min="13264" max="13266" width="0" style="34" hidden="1" customWidth="1"/>
    <col min="13267" max="13267" width="20.7109375" style="34" customWidth="1"/>
    <col min="13268" max="13268" width="23.85546875" style="34" customWidth="1"/>
    <col min="13269" max="13269" width="13.140625" style="34" bestFit="1" customWidth="1"/>
    <col min="13270" max="13270" width="1.85546875" style="34" customWidth="1"/>
    <col min="13271" max="13271" width="13.140625" style="34" bestFit="1" customWidth="1"/>
    <col min="13272" max="13272" width="15" style="34" customWidth="1"/>
    <col min="13273" max="13273" width="2.7109375" style="34" customWidth="1"/>
    <col min="13274" max="13274" width="17.5703125" style="34" customWidth="1"/>
    <col min="13275" max="13275" width="13.7109375" style="34" customWidth="1"/>
    <col min="13276" max="13276" width="3.7109375" style="34" customWidth="1"/>
    <col min="13277" max="13277" width="9" style="34" customWidth="1"/>
    <col min="13278" max="13278" width="11.85546875" style="34" customWidth="1"/>
    <col min="13279" max="13279" width="9.5703125" style="34" customWidth="1"/>
    <col min="13280" max="13280" width="10.5703125" style="34" customWidth="1"/>
    <col min="13281" max="13281" width="1.5703125" style="34" customWidth="1"/>
    <col min="13282" max="13282" width="15.85546875" style="34" bestFit="1" customWidth="1"/>
    <col min="13283" max="13283" width="6.42578125" style="34" customWidth="1"/>
    <col min="13284" max="13284" width="8.28515625" style="34" customWidth="1"/>
    <col min="13285" max="13285" width="6.42578125" style="34" customWidth="1"/>
    <col min="13286" max="13286" width="4.28515625" style="34" customWidth="1"/>
    <col min="13287" max="13290" width="0" style="34" hidden="1" customWidth="1"/>
    <col min="13291" max="13291" width="5.42578125" style="34" customWidth="1"/>
    <col min="13292" max="13509" width="11.42578125" style="34"/>
    <col min="13510" max="13510" width="38.5703125" style="34" customWidth="1"/>
    <col min="13511" max="13511" width="11.5703125" style="34" customWidth="1"/>
    <col min="13512" max="13512" width="12.42578125" style="34" customWidth="1"/>
    <col min="13513" max="13513" width="10.140625" style="34" bestFit="1" customWidth="1"/>
    <col min="13514" max="13514" width="13.28515625" style="34" customWidth="1"/>
    <col min="13515" max="13515" width="10.140625" style="34" bestFit="1" customWidth="1"/>
    <col min="13516" max="13516" width="16.28515625" style="34" customWidth="1"/>
    <col min="13517" max="13517" width="11.5703125" style="34" customWidth="1"/>
    <col min="13518" max="13518" width="10.140625" style="34" bestFit="1" customWidth="1"/>
    <col min="13519" max="13519" width="16.5703125" style="34" customWidth="1"/>
    <col min="13520" max="13522" width="0" style="34" hidden="1" customWidth="1"/>
    <col min="13523" max="13523" width="20.7109375" style="34" customWidth="1"/>
    <col min="13524" max="13524" width="23.85546875" style="34" customWidth="1"/>
    <col min="13525" max="13525" width="13.140625" style="34" bestFit="1" customWidth="1"/>
    <col min="13526" max="13526" width="1.85546875" style="34" customWidth="1"/>
    <col min="13527" max="13527" width="13.140625" style="34" bestFit="1" customWidth="1"/>
    <col min="13528" max="13528" width="15" style="34" customWidth="1"/>
    <col min="13529" max="13529" width="2.7109375" style="34" customWidth="1"/>
    <col min="13530" max="13530" width="17.5703125" style="34" customWidth="1"/>
    <col min="13531" max="13531" width="13.7109375" style="34" customWidth="1"/>
    <col min="13532" max="13532" width="3.7109375" style="34" customWidth="1"/>
    <col min="13533" max="13533" width="9" style="34" customWidth="1"/>
    <col min="13534" max="13534" width="11.85546875" style="34" customWidth="1"/>
    <col min="13535" max="13535" width="9.5703125" style="34" customWidth="1"/>
    <col min="13536" max="13536" width="10.5703125" style="34" customWidth="1"/>
    <col min="13537" max="13537" width="1.5703125" style="34" customWidth="1"/>
    <col min="13538" max="13538" width="15.85546875" style="34" bestFit="1" customWidth="1"/>
    <col min="13539" max="13539" width="6.42578125" style="34" customWidth="1"/>
    <col min="13540" max="13540" width="8.28515625" style="34" customWidth="1"/>
    <col min="13541" max="13541" width="6.42578125" style="34" customWidth="1"/>
    <col min="13542" max="13542" width="4.28515625" style="34" customWidth="1"/>
    <col min="13543" max="13546" width="0" style="34" hidden="1" customWidth="1"/>
    <col min="13547" max="13547" width="5.42578125" style="34" customWidth="1"/>
    <col min="13548" max="13765" width="11.42578125" style="34"/>
    <col min="13766" max="13766" width="38.5703125" style="34" customWidth="1"/>
    <col min="13767" max="13767" width="11.5703125" style="34" customWidth="1"/>
    <col min="13768" max="13768" width="12.42578125" style="34" customWidth="1"/>
    <col min="13769" max="13769" width="10.140625" style="34" bestFit="1" customWidth="1"/>
    <col min="13770" max="13770" width="13.28515625" style="34" customWidth="1"/>
    <col min="13771" max="13771" width="10.140625" style="34" bestFit="1" customWidth="1"/>
    <col min="13772" max="13772" width="16.28515625" style="34" customWidth="1"/>
    <col min="13773" max="13773" width="11.5703125" style="34" customWidth="1"/>
    <col min="13774" max="13774" width="10.140625" style="34" bestFit="1" customWidth="1"/>
    <col min="13775" max="13775" width="16.5703125" style="34" customWidth="1"/>
    <col min="13776" max="13778" width="0" style="34" hidden="1" customWidth="1"/>
    <col min="13779" max="13779" width="20.7109375" style="34" customWidth="1"/>
    <col min="13780" max="13780" width="23.85546875" style="34" customWidth="1"/>
    <col min="13781" max="13781" width="13.140625" style="34" bestFit="1" customWidth="1"/>
    <col min="13782" max="13782" width="1.85546875" style="34" customWidth="1"/>
    <col min="13783" max="13783" width="13.140625" style="34" bestFit="1" customWidth="1"/>
    <col min="13784" max="13784" width="15" style="34" customWidth="1"/>
    <col min="13785" max="13785" width="2.7109375" style="34" customWidth="1"/>
    <col min="13786" max="13786" width="17.5703125" style="34" customWidth="1"/>
    <col min="13787" max="13787" width="13.7109375" style="34" customWidth="1"/>
    <col min="13788" max="13788" width="3.7109375" style="34" customWidth="1"/>
    <col min="13789" max="13789" width="9" style="34" customWidth="1"/>
    <col min="13790" max="13790" width="11.85546875" style="34" customWidth="1"/>
    <col min="13791" max="13791" width="9.5703125" style="34" customWidth="1"/>
    <col min="13792" max="13792" width="10.5703125" style="34" customWidth="1"/>
    <col min="13793" max="13793" width="1.5703125" style="34" customWidth="1"/>
    <col min="13794" max="13794" width="15.85546875" style="34" bestFit="1" customWidth="1"/>
    <col min="13795" max="13795" width="6.42578125" style="34" customWidth="1"/>
    <col min="13796" max="13796" width="8.28515625" style="34" customWidth="1"/>
    <col min="13797" max="13797" width="6.42578125" style="34" customWidth="1"/>
    <col min="13798" max="13798" width="4.28515625" style="34" customWidth="1"/>
    <col min="13799" max="13802" width="0" style="34" hidden="1" customWidth="1"/>
    <col min="13803" max="13803" width="5.42578125" style="34" customWidth="1"/>
    <col min="13804" max="14021" width="11.42578125" style="34"/>
    <col min="14022" max="14022" width="38.5703125" style="34" customWidth="1"/>
    <col min="14023" max="14023" width="11.5703125" style="34" customWidth="1"/>
    <col min="14024" max="14024" width="12.42578125" style="34" customWidth="1"/>
    <col min="14025" max="14025" width="10.140625" style="34" bestFit="1" customWidth="1"/>
    <col min="14026" max="14026" width="13.28515625" style="34" customWidth="1"/>
    <col min="14027" max="14027" width="10.140625" style="34" bestFit="1" customWidth="1"/>
    <col min="14028" max="14028" width="16.28515625" style="34" customWidth="1"/>
    <col min="14029" max="14029" width="11.5703125" style="34" customWidth="1"/>
    <col min="14030" max="14030" width="10.140625" style="34" bestFit="1" customWidth="1"/>
    <col min="14031" max="14031" width="16.5703125" style="34" customWidth="1"/>
    <col min="14032" max="14034" width="0" style="34" hidden="1" customWidth="1"/>
    <col min="14035" max="14035" width="20.7109375" style="34" customWidth="1"/>
    <col min="14036" max="14036" width="23.85546875" style="34" customWidth="1"/>
    <col min="14037" max="14037" width="13.140625" style="34" bestFit="1" customWidth="1"/>
    <col min="14038" max="14038" width="1.85546875" style="34" customWidth="1"/>
    <col min="14039" max="14039" width="13.140625" style="34" bestFit="1" customWidth="1"/>
    <col min="14040" max="14040" width="15" style="34" customWidth="1"/>
    <col min="14041" max="14041" width="2.7109375" style="34" customWidth="1"/>
    <col min="14042" max="14042" width="17.5703125" style="34" customWidth="1"/>
    <col min="14043" max="14043" width="13.7109375" style="34" customWidth="1"/>
    <col min="14044" max="14044" width="3.7109375" style="34" customWidth="1"/>
    <col min="14045" max="14045" width="9" style="34" customWidth="1"/>
    <col min="14046" max="14046" width="11.85546875" style="34" customWidth="1"/>
    <col min="14047" max="14047" width="9.5703125" style="34" customWidth="1"/>
    <col min="14048" max="14048" width="10.5703125" style="34" customWidth="1"/>
    <col min="14049" max="14049" width="1.5703125" style="34" customWidth="1"/>
    <col min="14050" max="14050" width="15.85546875" style="34" bestFit="1" customWidth="1"/>
    <col min="14051" max="14051" width="6.42578125" style="34" customWidth="1"/>
    <col min="14052" max="14052" width="8.28515625" style="34" customWidth="1"/>
    <col min="14053" max="14053" width="6.42578125" style="34" customWidth="1"/>
    <col min="14054" max="14054" width="4.28515625" style="34" customWidth="1"/>
    <col min="14055" max="14058" width="0" style="34" hidden="1" customWidth="1"/>
    <col min="14059" max="14059" width="5.42578125" style="34" customWidth="1"/>
    <col min="14060" max="14277" width="11.42578125" style="34"/>
    <col min="14278" max="14278" width="38.5703125" style="34" customWidth="1"/>
    <col min="14279" max="14279" width="11.5703125" style="34" customWidth="1"/>
    <col min="14280" max="14280" width="12.42578125" style="34" customWidth="1"/>
    <col min="14281" max="14281" width="10.140625" style="34" bestFit="1" customWidth="1"/>
    <col min="14282" max="14282" width="13.28515625" style="34" customWidth="1"/>
    <col min="14283" max="14283" width="10.140625" style="34" bestFit="1" customWidth="1"/>
    <col min="14284" max="14284" width="16.28515625" style="34" customWidth="1"/>
    <col min="14285" max="14285" width="11.5703125" style="34" customWidth="1"/>
    <col min="14286" max="14286" width="10.140625" style="34" bestFit="1" customWidth="1"/>
    <col min="14287" max="14287" width="16.5703125" style="34" customWidth="1"/>
    <col min="14288" max="14290" width="0" style="34" hidden="1" customWidth="1"/>
    <col min="14291" max="14291" width="20.7109375" style="34" customWidth="1"/>
    <col min="14292" max="14292" width="23.85546875" style="34" customWidth="1"/>
    <col min="14293" max="14293" width="13.140625" style="34" bestFit="1" customWidth="1"/>
    <col min="14294" max="14294" width="1.85546875" style="34" customWidth="1"/>
    <col min="14295" max="14295" width="13.140625" style="34" bestFit="1" customWidth="1"/>
    <col min="14296" max="14296" width="15" style="34" customWidth="1"/>
    <col min="14297" max="14297" width="2.7109375" style="34" customWidth="1"/>
    <col min="14298" max="14298" width="17.5703125" style="34" customWidth="1"/>
    <col min="14299" max="14299" width="13.7109375" style="34" customWidth="1"/>
    <col min="14300" max="14300" width="3.7109375" style="34" customWidth="1"/>
    <col min="14301" max="14301" width="9" style="34" customWidth="1"/>
    <col min="14302" max="14302" width="11.85546875" style="34" customWidth="1"/>
    <col min="14303" max="14303" width="9.5703125" style="34" customWidth="1"/>
    <col min="14304" max="14304" width="10.5703125" style="34" customWidth="1"/>
    <col min="14305" max="14305" width="1.5703125" style="34" customWidth="1"/>
    <col min="14306" max="14306" width="15.85546875" style="34" bestFit="1" customWidth="1"/>
    <col min="14307" max="14307" width="6.42578125" style="34" customWidth="1"/>
    <col min="14308" max="14308" width="8.28515625" style="34" customWidth="1"/>
    <col min="14309" max="14309" width="6.42578125" style="34" customWidth="1"/>
    <col min="14310" max="14310" width="4.28515625" style="34" customWidth="1"/>
    <col min="14311" max="14314" width="0" style="34" hidden="1" customWidth="1"/>
    <col min="14315" max="14315" width="5.42578125" style="34" customWidth="1"/>
    <col min="14316" max="14533" width="11.42578125" style="34"/>
    <col min="14534" max="14534" width="38.5703125" style="34" customWidth="1"/>
    <col min="14535" max="14535" width="11.5703125" style="34" customWidth="1"/>
    <col min="14536" max="14536" width="12.42578125" style="34" customWidth="1"/>
    <col min="14537" max="14537" width="10.140625" style="34" bestFit="1" customWidth="1"/>
    <col min="14538" max="14538" width="13.28515625" style="34" customWidth="1"/>
    <col min="14539" max="14539" width="10.140625" style="34" bestFit="1" customWidth="1"/>
    <col min="14540" max="14540" width="16.28515625" style="34" customWidth="1"/>
    <col min="14541" max="14541" width="11.5703125" style="34" customWidth="1"/>
    <col min="14542" max="14542" width="10.140625" style="34" bestFit="1" customWidth="1"/>
    <col min="14543" max="14543" width="16.5703125" style="34" customWidth="1"/>
    <col min="14544" max="14546" width="0" style="34" hidden="1" customWidth="1"/>
    <col min="14547" max="14547" width="20.7109375" style="34" customWidth="1"/>
    <col min="14548" max="14548" width="23.85546875" style="34" customWidth="1"/>
    <col min="14549" max="14549" width="13.140625" style="34" bestFit="1" customWidth="1"/>
    <col min="14550" max="14550" width="1.85546875" style="34" customWidth="1"/>
    <col min="14551" max="14551" width="13.140625" style="34" bestFit="1" customWidth="1"/>
    <col min="14552" max="14552" width="15" style="34" customWidth="1"/>
    <col min="14553" max="14553" width="2.7109375" style="34" customWidth="1"/>
    <col min="14554" max="14554" width="17.5703125" style="34" customWidth="1"/>
    <col min="14555" max="14555" width="13.7109375" style="34" customWidth="1"/>
    <col min="14556" max="14556" width="3.7109375" style="34" customWidth="1"/>
    <col min="14557" max="14557" width="9" style="34" customWidth="1"/>
    <col min="14558" max="14558" width="11.85546875" style="34" customWidth="1"/>
    <col min="14559" max="14559" width="9.5703125" style="34" customWidth="1"/>
    <col min="14560" max="14560" width="10.5703125" style="34" customWidth="1"/>
    <col min="14561" max="14561" width="1.5703125" style="34" customWidth="1"/>
    <col min="14562" max="14562" width="15.85546875" style="34" bestFit="1" customWidth="1"/>
    <col min="14563" max="14563" width="6.42578125" style="34" customWidth="1"/>
    <col min="14564" max="14564" width="8.28515625" style="34" customWidth="1"/>
    <col min="14565" max="14565" width="6.42578125" style="34" customWidth="1"/>
    <col min="14566" max="14566" width="4.28515625" style="34" customWidth="1"/>
    <col min="14567" max="14570" width="0" style="34" hidden="1" customWidth="1"/>
    <col min="14571" max="14571" width="5.42578125" style="34" customWidth="1"/>
    <col min="14572" max="14789" width="11.42578125" style="34"/>
    <col min="14790" max="14790" width="38.5703125" style="34" customWidth="1"/>
    <col min="14791" max="14791" width="11.5703125" style="34" customWidth="1"/>
    <col min="14792" max="14792" width="12.42578125" style="34" customWidth="1"/>
    <col min="14793" max="14793" width="10.140625" style="34" bestFit="1" customWidth="1"/>
    <col min="14794" max="14794" width="13.28515625" style="34" customWidth="1"/>
    <col min="14795" max="14795" width="10.140625" style="34" bestFit="1" customWidth="1"/>
    <col min="14796" max="14796" width="16.28515625" style="34" customWidth="1"/>
    <col min="14797" max="14797" width="11.5703125" style="34" customWidth="1"/>
    <col min="14798" max="14798" width="10.140625" style="34" bestFit="1" customWidth="1"/>
    <col min="14799" max="14799" width="16.5703125" style="34" customWidth="1"/>
    <col min="14800" max="14802" width="0" style="34" hidden="1" customWidth="1"/>
    <col min="14803" max="14803" width="20.7109375" style="34" customWidth="1"/>
    <col min="14804" max="14804" width="23.85546875" style="34" customWidth="1"/>
    <col min="14805" max="14805" width="13.140625" style="34" bestFit="1" customWidth="1"/>
    <col min="14806" max="14806" width="1.85546875" style="34" customWidth="1"/>
    <col min="14807" max="14807" width="13.140625" style="34" bestFit="1" customWidth="1"/>
    <col min="14808" max="14808" width="15" style="34" customWidth="1"/>
    <col min="14809" max="14809" width="2.7109375" style="34" customWidth="1"/>
    <col min="14810" max="14810" width="17.5703125" style="34" customWidth="1"/>
    <col min="14811" max="14811" width="13.7109375" style="34" customWidth="1"/>
    <col min="14812" max="14812" width="3.7109375" style="34" customWidth="1"/>
    <col min="14813" max="14813" width="9" style="34" customWidth="1"/>
    <col min="14814" max="14814" width="11.85546875" style="34" customWidth="1"/>
    <col min="14815" max="14815" width="9.5703125" style="34" customWidth="1"/>
    <col min="14816" max="14816" width="10.5703125" style="34" customWidth="1"/>
    <col min="14817" max="14817" width="1.5703125" style="34" customWidth="1"/>
    <col min="14818" max="14818" width="15.85546875" style="34" bestFit="1" customWidth="1"/>
    <col min="14819" max="14819" width="6.42578125" style="34" customWidth="1"/>
    <col min="14820" max="14820" width="8.28515625" style="34" customWidth="1"/>
    <col min="14821" max="14821" width="6.42578125" style="34" customWidth="1"/>
    <col min="14822" max="14822" width="4.28515625" style="34" customWidth="1"/>
    <col min="14823" max="14826" width="0" style="34" hidden="1" customWidth="1"/>
    <col min="14827" max="14827" width="5.42578125" style="34" customWidth="1"/>
    <col min="14828" max="15045" width="11.42578125" style="34"/>
    <col min="15046" max="15046" width="38.5703125" style="34" customWidth="1"/>
    <col min="15047" max="15047" width="11.5703125" style="34" customWidth="1"/>
    <col min="15048" max="15048" width="12.42578125" style="34" customWidth="1"/>
    <col min="15049" max="15049" width="10.140625" style="34" bestFit="1" customWidth="1"/>
    <col min="15050" max="15050" width="13.28515625" style="34" customWidth="1"/>
    <col min="15051" max="15051" width="10.140625" style="34" bestFit="1" customWidth="1"/>
    <col min="15052" max="15052" width="16.28515625" style="34" customWidth="1"/>
    <col min="15053" max="15053" width="11.5703125" style="34" customWidth="1"/>
    <col min="15054" max="15054" width="10.140625" style="34" bestFit="1" customWidth="1"/>
    <col min="15055" max="15055" width="16.5703125" style="34" customWidth="1"/>
    <col min="15056" max="15058" width="0" style="34" hidden="1" customWidth="1"/>
    <col min="15059" max="15059" width="20.7109375" style="34" customWidth="1"/>
    <col min="15060" max="15060" width="23.85546875" style="34" customWidth="1"/>
    <col min="15061" max="15061" width="13.140625" style="34" bestFit="1" customWidth="1"/>
    <col min="15062" max="15062" width="1.85546875" style="34" customWidth="1"/>
    <col min="15063" max="15063" width="13.140625" style="34" bestFit="1" customWidth="1"/>
    <col min="15064" max="15064" width="15" style="34" customWidth="1"/>
    <col min="15065" max="15065" width="2.7109375" style="34" customWidth="1"/>
    <col min="15066" max="15066" width="17.5703125" style="34" customWidth="1"/>
    <col min="15067" max="15067" width="13.7109375" style="34" customWidth="1"/>
    <col min="15068" max="15068" width="3.7109375" style="34" customWidth="1"/>
    <col min="15069" max="15069" width="9" style="34" customWidth="1"/>
    <col min="15070" max="15070" width="11.85546875" style="34" customWidth="1"/>
    <col min="15071" max="15071" width="9.5703125" style="34" customWidth="1"/>
    <col min="15072" max="15072" width="10.5703125" style="34" customWidth="1"/>
    <col min="15073" max="15073" width="1.5703125" style="34" customWidth="1"/>
    <col min="15074" max="15074" width="15.85546875" style="34" bestFit="1" customWidth="1"/>
    <col min="15075" max="15075" width="6.42578125" style="34" customWidth="1"/>
    <col min="15076" max="15076" width="8.28515625" style="34" customWidth="1"/>
    <col min="15077" max="15077" width="6.42578125" style="34" customWidth="1"/>
    <col min="15078" max="15078" width="4.28515625" style="34" customWidth="1"/>
    <col min="15079" max="15082" width="0" style="34" hidden="1" customWidth="1"/>
    <col min="15083" max="15083" width="5.42578125" style="34" customWidth="1"/>
    <col min="15084" max="15301" width="11.42578125" style="34"/>
    <col min="15302" max="15302" width="38.5703125" style="34" customWidth="1"/>
    <col min="15303" max="15303" width="11.5703125" style="34" customWidth="1"/>
    <col min="15304" max="15304" width="12.42578125" style="34" customWidth="1"/>
    <col min="15305" max="15305" width="10.140625" style="34" bestFit="1" customWidth="1"/>
    <col min="15306" max="15306" width="13.28515625" style="34" customWidth="1"/>
    <col min="15307" max="15307" width="10.140625" style="34" bestFit="1" customWidth="1"/>
    <col min="15308" max="15308" width="16.28515625" style="34" customWidth="1"/>
    <col min="15309" max="15309" width="11.5703125" style="34" customWidth="1"/>
    <col min="15310" max="15310" width="10.140625" style="34" bestFit="1" customWidth="1"/>
    <col min="15311" max="15311" width="16.5703125" style="34" customWidth="1"/>
    <col min="15312" max="15314" width="0" style="34" hidden="1" customWidth="1"/>
    <col min="15315" max="15315" width="20.7109375" style="34" customWidth="1"/>
    <col min="15316" max="15316" width="23.85546875" style="34" customWidth="1"/>
    <col min="15317" max="15317" width="13.140625" style="34" bestFit="1" customWidth="1"/>
    <col min="15318" max="15318" width="1.85546875" style="34" customWidth="1"/>
    <col min="15319" max="15319" width="13.140625" style="34" bestFit="1" customWidth="1"/>
    <col min="15320" max="15320" width="15" style="34" customWidth="1"/>
    <col min="15321" max="15321" width="2.7109375" style="34" customWidth="1"/>
    <col min="15322" max="15322" width="17.5703125" style="34" customWidth="1"/>
    <col min="15323" max="15323" width="13.7109375" style="34" customWidth="1"/>
    <col min="15324" max="15324" width="3.7109375" style="34" customWidth="1"/>
    <col min="15325" max="15325" width="9" style="34" customWidth="1"/>
    <col min="15326" max="15326" width="11.85546875" style="34" customWidth="1"/>
    <col min="15327" max="15327" width="9.5703125" style="34" customWidth="1"/>
    <col min="15328" max="15328" width="10.5703125" style="34" customWidth="1"/>
    <col min="15329" max="15329" width="1.5703125" style="34" customWidth="1"/>
    <col min="15330" max="15330" width="15.85546875" style="34" bestFit="1" customWidth="1"/>
    <col min="15331" max="15331" width="6.42578125" style="34" customWidth="1"/>
    <col min="15332" max="15332" width="8.28515625" style="34" customWidth="1"/>
    <col min="15333" max="15333" width="6.42578125" style="34" customWidth="1"/>
    <col min="15334" max="15334" width="4.28515625" style="34" customWidth="1"/>
    <col min="15335" max="15338" width="0" style="34" hidden="1" customWidth="1"/>
    <col min="15339" max="15339" width="5.42578125" style="34" customWidth="1"/>
    <col min="15340" max="15557" width="11.42578125" style="34"/>
    <col min="15558" max="15558" width="38.5703125" style="34" customWidth="1"/>
    <col min="15559" max="15559" width="11.5703125" style="34" customWidth="1"/>
    <col min="15560" max="15560" width="12.42578125" style="34" customWidth="1"/>
    <col min="15561" max="15561" width="10.140625" style="34" bestFit="1" customWidth="1"/>
    <col min="15562" max="15562" width="13.28515625" style="34" customWidth="1"/>
    <col min="15563" max="15563" width="10.140625" style="34" bestFit="1" customWidth="1"/>
    <col min="15564" max="15564" width="16.28515625" style="34" customWidth="1"/>
    <col min="15565" max="15565" width="11.5703125" style="34" customWidth="1"/>
    <col min="15566" max="15566" width="10.140625" style="34" bestFit="1" customWidth="1"/>
    <col min="15567" max="15567" width="16.5703125" style="34" customWidth="1"/>
    <col min="15568" max="15570" width="0" style="34" hidden="1" customWidth="1"/>
    <col min="15571" max="15571" width="20.7109375" style="34" customWidth="1"/>
    <col min="15572" max="15572" width="23.85546875" style="34" customWidth="1"/>
    <col min="15573" max="15573" width="13.140625" style="34" bestFit="1" customWidth="1"/>
    <col min="15574" max="15574" width="1.85546875" style="34" customWidth="1"/>
    <col min="15575" max="15575" width="13.140625" style="34" bestFit="1" customWidth="1"/>
    <col min="15576" max="15576" width="15" style="34" customWidth="1"/>
    <col min="15577" max="15577" width="2.7109375" style="34" customWidth="1"/>
    <col min="15578" max="15578" width="17.5703125" style="34" customWidth="1"/>
    <col min="15579" max="15579" width="13.7109375" style="34" customWidth="1"/>
    <col min="15580" max="15580" width="3.7109375" style="34" customWidth="1"/>
    <col min="15581" max="15581" width="9" style="34" customWidth="1"/>
    <col min="15582" max="15582" width="11.85546875" style="34" customWidth="1"/>
    <col min="15583" max="15583" width="9.5703125" style="34" customWidth="1"/>
    <col min="15584" max="15584" width="10.5703125" style="34" customWidth="1"/>
    <col min="15585" max="15585" width="1.5703125" style="34" customWidth="1"/>
    <col min="15586" max="15586" width="15.85546875" style="34" bestFit="1" customWidth="1"/>
    <col min="15587" max="15587" width="6.42578125" style="34" customWidth="1"/>
    <col min="15588" max="15588" width="8.28515625" style="34" customWidth="1"/>
    <col min="15589" max="15589" width="6.42578125" style="34" customWidth="1"/>
    <col min="15590" max="15590" width="4.28515625" style="34" customWidth="1"/>
    <col min="15591" max="15594" width="0" style="34" hidden="1" customWidth="1"/>
    <col min="15595" max="15595" width="5.42578125" style="34" customWidth="1"/>
    <col min="15596" max="15813" width="11.42578125" style="34"/>
    <col min="15814" max="15814" width="38.5703125" style="34" customWidth="1"/>
    <col min="15815" max="15815" width="11.5703125" style="34" customWidth="1"/>
    <col min="15816" max="15816" width="12.42578125" style="34" customWidth="1"/>
    <col min="15817" max="15817" width="10.140625" style="34" bestFit="1" customWidth="1"/>
    <col min="15818" max="15818" width="13.28515625" style="34" customWidth="1"/>
    <col min="15819" max="15819" width="10.140625" style="34" bestFit="1" customWidth="1"/>
    <col min="15820" max="15820" width="16.28515625" style="34" customWidth="1"/>
    <col min="15821" max="15821" width="11.5703125" style="34" customWidth="1"/>
    <col min="15822" max="15822" width="10.140625" style="34" bestFit="1" customWidth="1"/>
    <col min="15823" max="15823" width="16.5703125" style="34" customWidth="1"/>
    <col min="15824" max="15826" width="0" style="34" hidden="1" customWidth="1"/>
    <col min="15827" max="15827" width="20.7109375" style="34" customWidth="1"/>
    <col min="15828" max="15828" width="23.85546875" style="34" customWidth="1"/>
    <col min="15829" max="15829" width="13.140625" style="34" bestFit="1" customWidth="1"/>
    <col min="15830" max="15830" width="1.85546875" style="34" customWidth="1"/>
    <col min="15831" max="15831" width="13.140625" style="34" bestFit="1" customWidth="1"/>
    <col min="15832" max="15832" width="15" style="34" customWidth="1"/>
    <col min="15833" max="15833" width="2.7109375" style="34" customWidth="1"/>
    <col min="15834" max="15834" width="17.5703125" style="34" customWidth="1"/>
    <col min="15835" max="15835" width="13.7109375" style="34" customWidth="1"/>
    <col min="15836" max="15836" width="3.7109375" style="34" customWidth="1"/>
    <col min="15837" max="15837" width="9" style="34" customWidth="1"/>
    <col min="15838" max="15838" width="11.85546875" style="34" customWidth="1"/>
    <col min="15839" max="15839" width="9.5703125" style="34" customWidth="1"/>
    <col min="15840" max="15840" width="10.5703125" style="34" customWidth="1"/>
    <col min="15841" max="15841" width="1.5703125" style="34" customWidth="1"/>
    <col min="15842" max="15842" width="15.85546875" style="34" bestFit="1" customWidth="1"/>
    <col min="15843" max="15843" width="6.42578125" style="34" customWidth="1"/>
    <col min="15844" max="15844" width="8.28515625" style="34" customWidth="1"/>
    <col min="15845" max="15845" width="6.42578125" style="34" customWidth="1"/>
    <col min="15846" max="15846" width="4.28515625" style="34" customWidth="1"/>
    <col min="15847" max="15850" width="0" style="34" hidden="1" customWidth="1"/>
    <col min="15851" max="15851" width="5.42578125" style="34" customWidth="1"/>
    <col min="15852" max="16069" width="11.42578125" style="34"/>
    <col min="16070" max="16070" width="38.5703125" style="34" customWidth="1"/>
    <col min="16071" max="16071" width="11.5703125" style="34" customWidth="1"/>
    <col min="16072" max="16072" width="12.42578125" style="34" customWidth="1"/>
    <col min="16073" max="16073" width="10.140625" style="34" bestFit="1" customWidth="1"/>
    <col min="16074" max="16074" width="13.28515625" style="34" customWidth="1"/>
    <col min="16075" max="16075" width="10.140625" style="34" bestFit="1" customWidth="1"/>
    <col min="16076" max="16076" width="16.28515625" style="34" customWidth="1"/>
    <col min="16077" max="16077" width="11.5703125" style="34" customWidth="1"/>
    <col min="16078" max="16078" width="10.140625" style="34" bestFit="1" customWidth="1"/>
    <col min="16079" max="16079" width="16.5703125" style="34" customWidth="1"/>
    <col min="16080" max="16082" width="0" style="34" hidden="1" customWidth="1"/>
    <col min="16083" max="16083" width="20.7109375" style="34" customWidth="1"/>
    <col min="16084" max="16084" width="23.85546875" style="34" customWidth="1"/>
    <col min="16085" max="16085" width="13.140625" style="34" bestFit="1" customWidth="1"/>
    <col min="16086" max="16086" width="1.85546875" style="34" customWidth="1"/>
    <col min="16087" max="16087" width="13.140625" style="34" bestFit="1" customWidth="1"/>
    <col min="16088" max="16088" width="15" style="34" customWidth="1"/>
    <col min="16089" max="16089" width="2.7109375" style="34" customWidth="1"/>
    <col min="16090" max="16090" width="17.5703125" style="34" customWidth="1"/>
    <col min="16091" max="16091" width="13.7109375" style="34" customWidth="1"/>
    <col min="16092" max="16092" width="3.7109375" style="34" customWidth="1"/>
    <col min="16093" max="16093" width="9" style="34" customWidth="1"/>
    <col min="16094" max="16094" width="11.85546875" style="34" customWidth="1"/>
    <col min="16095" max="16095" width="9.5703125" style="34" customWidth="1"/>
    <col min="16096" max="16096" width="10.5703125" style="34" customWidth="1"/>
    <col min="16097" max="16097" width="1.5703125" style="34" customWidth="1"/>
    <col min="16098" max="16098" width="15.85546875" style="34" bestFit="1" customWidth="1"/>
    <col min="16099" max="16099" width="6.42578125" style="34" customWidth="1"/>
    <col min="16100" max="16100" width="8.28515625" style="34" customWidth="1"/>
    <col min="16101" max="16101" width="6.42578125" style="34" customWidth="1"/>
    <col min="16102" max="16102" width="4.28515625" style="34" customWidth="1"/>
    <col min="16103" max="16106" width="0" style="34" hidden="1" customWidth="1"/>
    <col min="16107" max="16107" width="5.42578125" style="34" customWidth="1"/>
    <col min="16108" max="16384" width="11.42578125" style="34"/>
  </cols>
  <sheetData>
    <row r="1" spans="3:17">
      <c r="C1" s="48"/>
      <c r="D1" s="35"/>
      <c r="E1" s="35"/>
      <c r="F1" s="35"/>
      <c r="G1" s="35"/>
      <c r="H1" s="35"/>
      <c r="I1" s="35"/>
      <c r="J1" s="35"/>
      <c r="K1" s="35"/>
      <c r="L1" s="35"/>
    </row>
    <row r="2" spans="3:17">
      <c r="E2" s="34" t="s">
        <v>55</v>
      </c>
    </row>
    <row r="3" spans="3:17">
      <c r="C3" s="2037"/>
      <c r="D3" s="2037"/>
      <c r="E3" s="2037"/>
      <c r="F3" s="2037"/>
      <c r="G3" s="2037"/>
      <c r="H3" s="2037"/>
      <c r="I3" s="2037"/>
      <c r="J3" s="2037"/>
      <c r="K3" s="2037"/>
      <c r="L3" s="2037"/>
    </row>
    <row r="4" spans="3:17" ht="15.75">
      <c r="C4" s="2036" t="s">
        <v>766</v>
      </c>
      <c r="D4" s="2036"/>
      <c r="E4" s="2036"/>
      <c r="F4" s="2036"/>
      <c r="G4" s="2036"/>
      <c r="H4" s="2036"/>
      <c r="I4" s="2036"/>
      <c r="J4" s="2036"/>
      <c r="K4" s="2036"/>
      <c r="L4" s="2036"/>
      <c r="M4" s="2036"/>
      <c r="N4" s="2036"/>
      <c r="O4" s="2036"/>
      <c r="P4" s="2036"/>
    </row>
    <row r="5" spans="3:17" ht="24.95" customHeight="1" thickBot="1">
      <c r="C5" s="49"/>
      <c r="D5" s="38"/>
      <c r="E5" s="39"/>
      <c r="F5" s="38"/>
      <c r="G5" s="38"/>
      <c r="H5" s="38"/>
      <c r="I5" s="39" t="s">
        <v>51</v>
      </c>
      <c r="M5" s="40"/>
    </row>
    <row r="6" spans="3:17" ht="50.25" customHeight="1">
      <c r="C6" s="1996" t="s">
        <v>86</v>
      </c>
      <c r="D6" s="1999" t="s">
        <v>87</v>
      </c>
      <c r="E6" s="2002" t="s">
        <v>402</v>
      </c>
      <c r="F6" s="2002"/>
      <c r="G6" s="2002" t="s">
        <v>235</v>
      </c>
      <c r="H6" s="2002"/>
      <c r="I6" s="2002"/>
      <c r="J6" s="2002"/>
      <c r="K6" s="2002"/>
      <c r="L6" s="2002"/>
      <c r="M6" s="1999" t="s">
        <v>400</v>
      </c>
      <c r="N6" s="1980" t="s">
        <v>399</v>
      </c>
      <c r="O6" s="1983" t="s">
        <v>398</v>
      </c>
      <c r="P6" s="41"/>
    </row>
    <row r="7" spans="3:17" ht="50.25" customHeight="1">
      <c r="C7" s="1997"/>
      <c r="D7" s="2000"/>
      <c r="E7" s="2003"/>
      <c r="F7" s="2003"/>
      <c r="G7" s="1986" t="s">
        <v>74</v>
      </c>
      <c r="H7" s="1986"/>
      <c r="I7" s="1981" t="s">
        <v>75</v>
      </c>
      <c r="J7" s="1986" t="s">
        <v>76</v>
      </c>
      <c r="K7" s="1986"/>
      <c r="L7" s="1981" t="s">
        <v>75</v>
      </c>
      <c r="M7" s="2000"/>
      <c r="N7" s="1981"/>
      <c r="O7" s="1984"/>
      <c r="P7" s="41"/>
    </row>
    <row r="8" spans="3:17" ht="50.25" customHeight="1">
      <c r="C8" s="1998"/>
      <c r="D8" s="2001"/>
      <c r="E8" s="606" t="s">
        <v>44</v>
      </c>
      <c r="F8" s="606" t="s">
        <v>45</v>
      </c>
      <c r="G8" s="606" t="s">
        <v>44</v>
      </c>
      <c r="H8" s="606" t="s">
        <v>45</v>
      </c>
      <c r="I8" s="1982"/>
      <c r="J8" s="606" t="s">
        <v>44</v>
      </c>
      <c r="K8" s="606" t="s">
        <v>45</v>
      </c>
      <c r="L8" s="1982"/>
      <c r="M8" s="2001"/>
      <c r="N8" s="1982"/>
      <c r="O8" s="1985"/>
      <c r="P8" s="41"/>
    </row>
    <row r="9" spans="3:17" ht="30.75" customHeight="1">
      <c r="C9" s="177" t="s">
        <v>2</v>
      </c>
      <c r="D9" s="192">
        <f>+D80</f>
        <v>30672</v>
      </c>
      <c r="E9" s="192">
        <f t="shared" ref="E9:O9" si="0">+E80</f>
        <v>33394</v>
      </c>
      <c r="F9" s="192">
        <f t="shared" si="0"/>
        <v>2267</v>
      </c>
      <c r="G9" s="192">
        <f>+G80</f>
        <v>7001</v>
      </c>
      <c r="H9" s="192">
        <f>+H80</f>
        <v>899</v>
      </c>
      <c r="I9" s="192">
        <f t="shared" si="0"/>
        <v>7900</v>
      </c>
      <c r="J9" s="192">
        <f>+J80</f>
        <v>26393</v>
      </c>
      <c r="K9" s="192">
        <f>+K80</f>
        <v>1368</v>
      </c>
      <c r="L9" s="192">
        <f t="shared" si="0"/>
        <v>27761</v>
      </c>
      <c r="M9" s="192">
        <f t="shared" si="0"/>
        <v>35661</v>
      </c>
      <c r="N9" s="192">
        <f t="shared" si="0"/>
        <v>4989</v>
      </c>
      <c r="O9" s="193">
        <f t="shared" si="0"/>
        <v>0.1626564945226916</v>
      </c>
      <c r="P9" s="46"/>
      <c r="Q9" s="56"/>
    </row>
    <row r="10" spans="3:17" ht="30.75" customHeight="1">
      <c r="C10" s="180" t="s">
        <v>3</v>
      </c>
      <c r="D10" s="194">
        <f t="shared" ref="D10:O10" si="1">+D112</f>
        <v>15793</v>
      </c>
      <c r="E10" s="194">
        <f t="shared" si="1"/>
        <v>17999</v>
      </c>
      <c r="F10" s="194">
        <f t="shared" si="1"/>
        <v>1323</v>
      </c>
      <c r="G10" s="194">
        <f>+G112</f>
        <v>5750</v>
      </c>
      <c r="H10" s="194">
        <f>+H112</f>
        <v>493</v>
      </c>
      <c r="I10" s="194">
        <f t="shared" si="1"/>
        <v>6243</v>
      </c>
      <c r="J10" s="194">
        <f>+J112</f>
        <v>12249</v>
      </c>
      <c r="K10" s="194">
        <f>+K112</f>
        <v>830</v>
      </c>
      <c r="L10" s="194">
        <f t="shared" si="1"/>
        <v>13079</v>
      </c>
      <c r="M10" s="194">
        <f t="shared" si="1"/>
        <v>19322</v>
      </c>
      <c r="N10" s="194">
        <f t="shared" si="1"/>
        <v>3529</v>
      </c>
      <c r="O10" s="195">
        <f t="shared" si="1"/>
        <v>0.22345342873424934</v>
      </c>
      <c r="P10" s="46"/>
      <c r="Q10" s="56"/>
    </row>
    <row r="11" spans="3:17" ht="30.75" customHeight="1">
      <c r="C11" s="183" t="s">
        <v>4</v>
      </c>
      <c r="D11" s="196">
        <f t="shared" ref="D11:O11" si="2">+D138</f>
        <v>6612</v>
      </c>
      <c r="E11" s="196">
        <f t="shared" si="2"/>
        <v>8458</v>
      </c>
      <c r="F11" s="196">
        <f t="shared" si="2"/>
        <v>276</v>
      </c>
      <c r="G11" s="196">
        <f>+G138</f>
        <v>3820</v>
      </c>
      <c r="H11" s="196">
        <f>+H138</f>
        <v>151</v>
      </c>
      <c r="I11" s="196">
        <f t="shared" si="2"/>
        <v>3971</v>
      </c>
      <c r="J11" s="196">
        <f>+J138</f>
        <v>4638</v>
      </c>
      <c r="K11" s="196">
        <f>+K138</f>
        <v>125</v>
      </c>
      <c r="L11" s="196">
        <f t="shared" si="2"/>
        <v>4763</v>
      </c>
      <c r="M11" s="196">
        <f t="shared" si="2"/>
        <v>8734</v>
      </c>
      <c r="N11" s="196">
        <f t="shared" si="2"/>
        <v>2122</v>
      </c>
      <c r="O11" s="197">
        <f t="shared" si="2"/>
        <v>0.32093163944343628</v>
      </c>
      <c r="P11" s="46"/>
      <c r="Q11" s="56"/>
    </row>
    <row r="12" spans="3:17" ht="30.75" customHeight="1">
      <c r="C12" s="180" t="s">
        <v>10</v>
      </c>
      <c r="D12" s="194">
        <f t="shared" ref="D12:O12" si="3">+D161</f>
        <v>8668</v>
      </c>
      <c r="E12" s="194">
        <f t="shared" si="3"/>
        <v>9172</v>
      </c>
      <c r="F12" s="194">
        <f t="shared" si="3"/>
        <v>659</v>
      </c>
      <c r="G12" s="194">
        <f>+G161</f>
        <v>2442</v>
      </c>
      <c r="H12" s="194">
        <f>+H161</f>
        <v>296</v>
      </c>
      <c r="I12" s="194">
        <f t="shared" si="3"/>
        <v>2738</v>
      </c>
      <c r="J12" s="194">
        <f>+J161</f>
        <v>6730</v>
      </c>
      <c r="K12" s="194">
        <f>+K161</f>
        <v>363</v>
      </c>
      <c r="L12" s="194">
        <f t="shared" si="3"/>
        <v>7093</v>
      </c>
      <c r="M12" s="194">
        <f t="shared" si="3"/>
        <v>9831</v>
      </c>
      <c r="N12" s="194">
        <f t="shared" si="3"/>
        <v>1163</v>
      </c>
      <c r="O12" s="195">
        <f t="shared" si="3"/>
        <v>0.13417166589755425</v>
      </c>
      <c r="P12" s="46"/>
      <c r="Q12" s="56"/>
    </row>
    <row r="13" spans="3:17" ht="30.75" customHeight="1">
      <c r="C13" s="183" t="s">
        <v>5</v>
      </c>
      <c r="D13" s="196">
        <f t="shared" ref="D13:O13" si="4">+D191</f>
        <v>8158</v>
      </c>
      <c r="E13" s="196">
        <f t="shared" si="4"/>
        <v>10572</v>
      </c>
      <c r="F13" s="196">
        <f t="shared" si="4"/>
        <v>1115</v>
      </c>
      <c r="G13" s="196">
        <f>+G191</f>
        <v>1854</v>
      </c>
      <c r="H13" s="196">
        <f>+H191</f>
        <v>417</v>
      </c>
      <c r="I13" s="196">
        <f t="shared" si="4"/>
        <v>2271</v>
      </c>
      <c r="J13" s="196">
        <f>+J191</f>
        <v>8718</v>
      </c>
      <c r="K13" s="196">
        <f>+K191</f>
        <v>698</v>
      </c>
      <c r="L13" s="196">
        <f t="shared" si="4"/>
        <v>9416</v>
      </c>
      <c r="M13" s="196">
        <f t="shared" si="4"/>
        <v>11687</v>
      </c>
      <c r="N13" s="196">
        <f t="shared" si="4"/>
        <v>3529</v>
      </c>
      <c r="O13" s="197">
        <f t="shared" si="4"/>
        <v>0.43258151507722475</v>
      </c>
      <c r="P13" s="46"/>
      <c r="Q13" s="56"/>
    </row>
    <row r="14" spans="3:17" ht="30.75" customHeight="1">
      <c r="C14" s="180" t="s">
        <v>11</v>
      </c>
      <c r="D14" s="194">
        <f t="shared" ref="D14:O14" si="5">+D223</f>
        <v>10526</v>
      </c>
      <c r="E14" s="194">
        <f t="shared" si="5"/>
        <v>10646</v>
      </c>
      <c r="F14" s="194">
        <f t="shared" si="5"/>
        <v>1032</v>
      </c>
      <c r="G14" s="194">
        <f>+G223</f>
        <v>2145</v>
      </c>
      <c r="H14" s="194">
        <f>+H223</f>
        <v>327</v>
      </c>
      <c r="I14" s="194">
        <f t="shared" si="5"/>
        <v>2472</v>
      </c>
      <c r="J14" s="194">
        <f>+J223</f>
        <v>8501</v>
      </c>
      <c r="K14" s="194">
        <f>+K223</f>
        <v>705</v>
      </c>
      <c r="L14" s="194">
        <f t="shared" si="5"/>
        <v>9206</v>
      </c>
      <c r="M14" s="194">
        <f t="shared" si="5"/>
        <v>11678</v>
      </c>
      <c r="N14" s="194">
        <f t="shared" si="5"/>
        <v>1152</v>
      </c>
      <c r="O14" s="195">
        <f t="shared" si="5"/>
        <v>0.10944328329849906</v>
      </c>
      <c r="P14" s="46"/>
      <c r="Q14" s="56"/>
    </row>
    <row r="15" spans="3:17" ht="32.25" customHeight="1">
      <c r="C15" s="587" t="s">
        <v>6</v>
      </c>
      <c r="D15" s="588">
        <f>SUM(D9:D14)</f>
        <v>80429</v>
      </c>
      <c r="E15" s="588">
        <f>SUM(E9:E14)</f>
        <v>90241</v>
      </c>
      <c r="F15" s="588">
        <f t="shared" ref="F15:N15" si="6">SUM(F9:F14)</f>
        <v>6672</v>
      </c>
      <c r="G15" s="588">
        <f t="shared" si="6"/>
        <v>23012</v>
      </c>
      <c r="H15" s="588">
        <f t="shared" si="6"/>
        <v>2583</v>
      </c>
      <c r="I15" s="588">
        <f t="shared" si="6"/>
        <v>25595</v>
      </c>
      <c r="J15" s="588">
        <f t="shared" si="6"/>
        <v>67229</v>
      </c>
      <c r="K15" s="588">
        <f t="shared" si="6"/>
        <v>4089</v>
      </c>
      <c r="L15" s="588">
        <f t="shared" si="6"/>
        <v>71318</v>
      </c>
      <c r="M15" s="588">
        <f t="shared" si="6"/>
        <v>96913</v>
      </c>
      <c r="N15" s="589">
        <f t="shared" si="6"/>
        <v>16484</v>
      </c>
      <c r="O15" s="590">
        <f>+M15*1/D15-1</f>
        <v>0.20495095052779466</v>
      </c>
      <c r="P15" s="46"/>
    </row>
    <row r="16" spans="3:17" ht="32.25" customHeight="1">
      <c r="C16" s="2039" t="s">
        <v>28</v>
      </c>
      <c r="D16" s="1990">
        <f>+D15/D15</f>
        <v>1</v>
      </c>
      <c r="E16" s="591">
        <f>+E15/$M$15</f>
        <v>0.93115474704116064</v>
      </c>
      <c r="F16" s="591">
        <f>+F15/$M$15</f>
        <v>6.8845252958839365E-2</v>
      </c>
      <c r="G16" s="591">
        <f>+G15/I15</f>
        <v>0.89908185192420398</v>
      </c>
      <c r="H16" s="591">
        <f>+H15/I15</f>
        <v>0.10091814807579605</v>
      </c>
      <c r="I16" s="591">
        <f>+H16+G16</f>
        <v>1</v>
      </c>
      <c r="J16" s="591">
        <f>+J15/L15</f>
        <v>0.94266524580049915</v>
      </c>
      <c r="K16" s="591">
        <f>+K15/L15</f>
        <v>5.7334754199500827E-2</v>
      </c>
      <c r="L16" s="591">
        <f>+K16+J16</f>
        <v>1</v>
      </c>
      <c r="M16" s="1990">
        <f>+J17+G17</f>
        <v>1</v>
      </c>
      <c r="N16" s="592"/>
      <c r="O16" s="590"/>
      <c r="P16" s="46"/>
    </row>
    <row r="17" spans="3:20" ht="32.25" customHeight="1" thickBot="1">
      <c r="C17" s="1989"/>
      <c r="D17" s="1991"/>
      <c r="E17" s="1992">
        <f>+F16+E16</f>
        <v>1</v>
      </c>
      <c r="F17" s="1993"/>
      <c r="G17" s="1992">
        <f>+I15/M15</f>
        <v>0.26410285513811355</v>
      </c>
      <c r="H17" s="1994"/>
      <c r="I17" s="1993"/>
      <c r="J17" s="1992">
        <f>+L15/M15</f>
        <v>0.7358971448618864</v>
      </c>
      <c r="K17" s="1994"/>
      <c r="L17" s="1993"/>
      <c r="M17" s="1991"/>
      <c r="N17" s="593"/>
      <c r="O17" s="594"/>
      <c r="P17" s="46"/>
    </row>
    <row r="18" spans="3:20" ht="30" customHeight="1">
      <c r="C18" s="50" t="s">
        <v>79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O18" s="34"/>
      <c r="P18" s="34"/>
    </row>
    <row r="19" spans="3:20"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34"/>
      <c r="Q19" s="56"/>
    </row>
    <row r="20" spans="3:20" ht="18">
      <c r="C20" s="2038" t="s">
        <v>728</v>
      </c>
      <c r="D20" s="2038"/>
      <c r="E20" s="2038"/>
      <c r="F20" s="2038"/>
      <c r="G20" s="2038"/>
      <c r="H20" s="2038"/>
      <c r="I20" s="2038"/>
      <c r="J20" s="2038"/>
      <c r="K20" s="2038"/>
      <c r="L20" s="2038"/>
      <c r="M20" s="2038"/>
      <c r="N20" s="2038"/>
      <c r="O20" s="34"/>
      <c r="P20" s="34"/>
      <c r="Q20" s="56"/>
    </row>
    <row r="21" spans="3:20" ht="24.95" customHeight="1" thickBot="1">
      <c r="C21" s="49"/>
      <c r="D21" s="38"/>
      <c r="E21" s="39"/>
      <c r="F21" s="38"/>
      <c r="G21" s="38"/>
      <c r="H21" s="38"/>
      <c r="I21" s="39" t="s">
        <v>51</v>
      </c>
      <c r="M21" s="40"/>
    </row>
    <row r="22" spans="3:20" ht="50.25" customHeight="1">
      <c r="C22" s="1996" t="s">
        <v>86</v>
      </c>
      <c r="D22" s="1999" t="s">
        <v>87</v>
      </c>
      <c r="E22" s="2002" t="s">
        <v>402</v>
      </c>
      <c r="F22" s="2002"/>
      <c r="G22" s="2002" t="s">
        <v>235</v>
      </c>
      <c r="H22" s="2002"/>
      <c r="I22" s="2002"/>
      <c r="J22" s="2002"/>
      <c r="K22" s="2002"/>
      <c r="L22" s="2002"/>
      <c r="M22" s="1999" t="s">
        <v>400</v>
      </c>
      <c r="N22" s="1983" t="s">
        <v>401</v>
      </c>
      <c r="O22" s="2035"/>
      <c r="P22" s="41"/>
    </row>
    <row r="23" spans="3:20" ht="50.25" customHeight="1">
      <c r="C23" s="1997"/>
      <c r="D23" s="2000"/>
      <c r="E23" s="2003"/>
      <c r="F23" s="2003"/>
      <c r="G23" s="1986" t="s">
        <v>74</v>
      </c>
      <c r="H23" s="1986"/>
      <c r="I23" s="1981" t="s">
        <v>75</v>
      </c>
      <c r="J23" s="1986" t="s">
        <v>76</v>
      </c>
      <c r="K23" s="1986"/>
      <c r="L23" s="1981" t="s">
        <v>75</v>
      </c>
      <c r="M23" s="2000"/>
      <c r="N23" s="1984"/>
      <c r="O23" s="2035"/>
      <c r="P23" s="41"/>
    </row>
    <row r="24" spans="3:20" ht="50.25" customHeight="1">
      <c r="C24" s="1998"/>
      <c r="D24" s="2001"/>
      <c r="E24" s="606" t="s">
        <v>44</v>
      </c>
      <c r="F24" s="606" t="s">
        <v>45</v>
      </c>
      <c r="G24" s="606" t="s">
        <v>44</v>
      </c>
      <c r="H24" s="606" t="s">
        <v>45</v>
      </c>
      <c r="I24" s="1982"/>
      <c r="J24" s="606" t="s">
        <v>44</v>
      </c>
      <c r="K24" s="606" t="s">
        <v>45</v>
      </c>
      <c r="L24" s="1982"/>
      <c r="M24" s="2001"/>
      <c r="N24" s="1985"/>
      <c r="O24" s="2035"/>
      <c r="P24" s="41"/>
    </row>
    <row r="25" spans="3:20" ht="31.5" customHeight="1">
      <c r="C25" s="177" t="s">
        <v>2</v>
      </c>
      <c r="D25" s="178">
        <f>+D9/D$15</f>
        <v>0.38135498389884248</v>
      </c>
      <c r="E25" s="178">
        <f>+E9/E$15</f>
        <v>0.37005352334304809</v>
      </c>
      <c r="F25" s="178">
        <f>+F9/F$15</f>
        <v>0.33977817745803357</v>
      </c>
      <c r="G25" s="178">
        <f t="shared" ref="G25:L25" si="7">+G9/G$15</f>
        <v>0.30423257430905615</v>
      </c>
      <c r="H25" s="178">
        <f t="shared" si="7"/>
        <v>0.34804490902051877</v>
      </c>
      <c r="I25" s="178">
        <f t="shared" si="7"/>
        <v>0.30865403399101388</v>
      </c>
      <c r="J25" s="178">
        <f t="shared" si="7"/>
        <v>0.39258355769087744</v>
      </c>
      <c r="K25" s="178">
        <f t="shared" si="7"/>
        <v>0.33455612619222302</v>
      </c>
      <c r="L25" s="178">
        <f t="shared" si="7"/>
        <v>0.38925656916907375</v>
      </c>
      <c r="M25" s="178">
        <f>+M9/M$15</f>
        <v>0.36796920949717787</v>
      </c>
      <c r="N25" s="179">
        <f t="shared" ref="N25:N30" si="8">+N9/$N$15</f>
        <v>0.30265712205775297</v>
      </c>
      <c r="O25" s="65"/>
      <c r="P25" s="46"/>
      <c r="Q25" s="56"/>
      <c r="R25" s="61">
        <f>SUM(O9:O14)</f>
        <v>1.3832380269736553</v>
      </c>
      <c r="T25" s="60"/>
    </row>
    <row r="26" spans="3:20" ht="31.5" customHeight="1">
      <c r="C26" s="180" t="s">
        <v>3</v>
      </c>
      <c r="D26" s="181">
        <f>+D10/D$15</f>
        <v>0.1963595220629375</v>
      </c>
      <c r="E26" s="181">
        <f t="shared" ref="E26:M26" si="9">+E10/E$15</f>
        <v>0.19945479327578375</v>
      </c>
      <c r="F26" s="181">
        <f t="shared" si="9"/>
        <v>0.19829136690647481</v>
      </c>
      <c r="G26" s="181">
        <f t="shared" si="9"/>
        <v>0.24986963323483399</v>
      </c>
      <c r="H26" s="181">
        <f t="shared" si="9"/>
        <v>0.19086333720480061</v>
      </c>
      <c r="I26" s="181">
        <f t="shared" si="9"/>
        <v>0.24391482711467083</v>
      </c>
      <c r="J26" s="181">
        <f t="shared" si="9"/>
        <v>0.18219815853277604</v>
      </c>
      <c r="K26" s="181">
        <f t="shared" si="9"/>
        <v>0.20298361457569089</v>
      </c>
      <c r="L26" s="181">
        <f t="shared" si="9"/>
        <v>0.18338988754592109</v>
      </c>
      <c r="M26" s="181">
        <f t="shared" si="9"/>
        <v>0.19937469689308968</v>
      </c>
      <c r="N26" s="182">
        <f t="shared" si="8"/>
        <v>0.21408638679932054</v>
      </c>
      <c r="O26" s="65"/>
      <c r="P26" s="46"/>
      <c r="Q26" s="56"/>
      <c r="R26" s="36"/>
    </row>
    <row r="27" spans="3:20" ht="31.5" customHeight="1">
      <c r="C27" s="183" t="s">
        <v>4</v>
      </c>
      <c r="D27" s="184">
        <f>+D11/D$15</f>
        <v>8.2209153414813066E-2</v>
      </c>
      <c r="E27" s="184">
        <f t="shared" ref="E27:M27" si="10">+E11/E$15</f>
        <v>9.3726798240267722E-2</v>
      </c>
      <c r="F27" s="184">
        <f t="shared" si="10"/>
        <v>4.1366906474820143E-2</v>
      </c>
      <c r="G27" s="184">
        <f t="shared" si="10"/>
        <v>0.16600034764470711</v>
      </c>
      <c r="H27" s="184">
        <f t="shared" si="10"/>
        <v>5.8459156020131631E-2</v>
      </c>
      <c r="I27" s="184">
        <f t="shared" si="10"/>
        <v>0.15514748974409065</v>
      </c>
      <c r="J27" s="184">
        <f t="shared" si="10"/>
        <v>6.8988085498817478E-2</v>
      </c>
      <c r="K27" s="184">
        <f t="shared" si="10"/>
        <v>3.0569821472242603E-2</v>
      </c>
      <c r="L27" s="184">
        <f>+L11/L$15</f>
        <v>6.6785383774082274E-2</v>
      </c>
      <c r="M27" s="184">
        <f t="shared" si="10"/>
        <v>9.0122068246778042E-2</v>
      </c>
      <c r="N27" s="185">
        <f t="shared" si="8"/>
        <v>0.12873089056054357</v>
      </c>
      <c r="O27" s="65"/>
      <c r="P27" s="46"/>
      <c r="Q27" s="56"/>
      <c r="R27" s="67"/>
    </row>
    <row r="28" spans="3:20" ht="31.5" customHeight="1">
      <c r="C28" s="180" t="s">
        <v>10</v>
      </c>
      <c r="D28" s="181">
        <f t="shared" ref="D28:M30" si="11">+D12/D$15</f>
        <v>0.10777207226249239</v>
      </c>
      <c r="E28" s="181">
        <f t="shared" si="11"/>
        <v>0.10163894460389401</v>
      </c>
      <c r="F28" s="181">
        <f t="shared" si="11"/>
        <v>9.8770983213429253E-2</v>
      </c>
      <c r="G28" s="181">
        <f t="shared" si="11"/>
        <v>0.10611854684512428</v>
      </c>
      <c r="H28" s="181">
        <f t="shared" si="11"/>
        <v>0.11459543166860241</v>
      </c>
      <c r="I28" s="181">
        <f t="shared" si="11"/>
        <v>0.10697401836296151</v>
      </c>
      <c r="J28" s="181">
        <f t="shared" si="11"/>
        <v>0.10010560918651178</v>
      </c>
      <c r="K28" s="181">
        <f t="shared" si="11"/>
        <v>8.8774761555392517E-2</v>
      </c>
      <c r="L28" s="181">
        <f t="shared" si="11"/>
        <v>9.9455957822709551E-2</v>
      </c>
      <c r="M28" s="181">
        <f t="shared" si="11"/>
        <v>0.10144149907649129</v>
      </c>
      <c r="N28" s="182">
        <f t="shared" si="8"/>
        <v>7.0553263770929381E-2</v>
      </c>
      <c r="O28" s="65"/>
      <c r="P28" s="46"/>
      <c r="Q28" s="56"/>
    </row>
    <row r="29" spans="3:20" ht="31.5" customHeight="1">
      <c r="C29" s="183" t="s">
        <v>5</v>
      </c>
      <c r="D29" s="184">
        <f t="shared" si="11"/>
        <v>0.10143107585572368</v>
      </c>
      <c r="E29" s="184">
        <f t="shared" si="11"/>
        <v>0.11715295708159262</v>
      </c>
      <c r="F29" s="184">
        <f t="shared" si="11"/>
        <v>0.16711630695443644</v>
      </c>
      <c r="G29" s="184">
        <f t="shared" si="11"/>
        <v>8.0566660872588208E-2</v>
      </c>
      <c r="H29" s="184">
        <f t="shared" si="11"/>
        <v>0.16144018583042974</v>
      </c>
      <c r="I29" s="184">
        <f t="shared" si="11"/>
        <v>8.8728267239695249E-2</v>
      </c>
      <c r="J29" s="184">
        <f t="shared" si="11"/>
        <v>0.12967618140980827</v>
      </c>
      <c r="K29" s="184">
        <f t="shared" si="11"/>
        <v>0.17070188310100268</v>
      </c>
      <c r="L29" s="184">
        <f t="shared" si="11"/>
        <v>0.13202837993213495</v>
      </c>
      <c r="M29" s="184">
        <f t="shared" si="11"/>
        <v>0.12059269654225956</v>
      </c>
      <c r="N29" s="185">
        <f t="shared" si="8"/>
        <v>0.21408638679932054</v>
      </c>
      <c r="O29" s="65"/>
      <c r="P29" s="46"/>
      <c r="Q29" s="56"/>
    </row>
    <row r="30" spans="3:20" ht="31.5" customHeight="1">
      <c r="C30" s="180" t="s">
        <v>11</v>
      </c>
      <c r="D30" s="181">
        <f t="shared" si="11"/>
        <v>0.13087319250519092</v>
      </c>
      <c r="E30" s="181">
        <f t="shared" si="11"/>
        <v>0.11797298345541384</v>
      </c>
      <c r="F30" s="181">
        <f t="shared" si="11"/>
        <v>0.15467625899280577</v>
      </c>
      <c r="G30" s="181">
        <f t="shared" si="11"/>
        <v>9.3212237093690253E-2</v>
      </c>
      <c r="H30" s="181">
        <f t="shared" si="11"/>
        <v>0.12659698025551683</v>
      </c>
      <c r="I30" s="181">
        <f t="shared" si="11"/>
        <v>9.6581363547567883E-2</v>
      </c>
      <c r="J30" s="181">
        <f t="shared" si="11"/>
        <v>0.12644840768120899</v>
      </c>
      <c r="K30" s="181">
        <f t="shared" si="11"/>
        <v>0.17241379310344829</v>
      </c>
      <c r="L30" s="181">
        <f t="shared" si="11"/>
        <v>0.12908382175607841</v>
      </c>
      <c r="M30" s="181">
        <f t="shared" si="11"/>
        <v>0.12049982974420356</v>
      </c>
      <c r="N30" s="182">
        <f t="shared" si="8"/>
        <v>6.9885950012132977E-2</v>
      </c>
      <c r="O30" s="65"/>
      <c r="P30" s="46"/>
      <c r="Q30" s="56"/>
    </row>
    <row r="31" spans="3:20" ht="37.5" customHeight="1" thickBot="1">
      <c r="C31" s="595" t="s">
        <v>238</v>
      </c>
      <c r="D31" s="593">
        <f>SUM(D25:D30)</f>
        <v>1</v>
      </c>
      <c r="E31" s="593">
        <f t="shared" ref="E31:N31" si="12">SUM(E25:E30)</f>
        <v>1</v>
      </c>
      <c r="F31" s="593">
        <f t="shared" si="12"/>
        <v>1</v>
      </c>
      <c r="G31" s="593">
        <f t="shared" si="12"/>
        <v>1</v>
      </c>
      <c r="H31" s="593">
        <f t="shared" si="12"/>
        <v>1</v>
      </c>
      <c r="I31" s="593">
        <f t="shared" si="12"/>
        <v>1</v>
      </c>
      <c r="J31" s="593">
        <f t="shared" si="12"/>
        <v>1</v>
      </c>
      <c r="K31" s="593">
        <f t="shared" si="12"/>
        <v>1</v>
      </c>
      <c r="L31" s="593">
        <f t="shared" si="12"/>
        <v>1</v>
      </c>
      <c r="M31" s="593">
        <f t="shared" si="12"/>
        <v>1</v>
      </c>
      <c r="N31" s="594">
        <f t="shared" si="12"/>
        <v>1</v>
      </c>
      <c r="O31" s="66"/>
      <c r="P31" s="46"/>
    </row>
    <row r="32" spans="3:20" ht="30" customHeight="1">
      <c r="C32" s="50" t="s">
        <v>79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O32" s="34"/>
      <c r="P32" s="34"/>
    </row>
    <row r="33" spans="3:16" ht="15.75">
      <c r="C33" s="2028" t="s">
        <v>729</v>
      </c>
      <c r="D33" s="2028"/>
      <c r="E33" s="2028"/>
      <c r="F33" s="2028"/>
      <c r="G33" s="2028"/>
      <c r="H33" s="2028"/>
      <c r="I33" s="2028"/>
      <c r="J33" s="2028"/>
      <c r="K33" s="2028"/>
      <c r="L33" s="2028"/>
      <c r="M33" s="2028"/>
      <c r="N33" s="2028"/>
      <c r="O33" s="2028"/>
      <c r="P33" s="2028"/>
    </row>
    <row r="34" spans="3:16" ht="13.5" thickBot="1">
      <c r="C34" s="49"/>
      <c r="D34" s="38"/>
      <c r="E34" s="39"/>
      <c r="F34" s="38"/>
      <c r="G34" s="38"/>
      <c r="H34" s="38"/>
      <c r="I34" s="39" t="s">
        <v>51</v>
      </c>
      <c r="M34" s="40"/>
    </row>
    <row r="35" spans="3:16" s="596" customFormat="1" ht="53.25" customHeight="1">
      <c r="C35" s="2029" t="s">
        <v>57</v>
      </c>
      <c r="D35" s="2019" t="s">
        <v>87</v>
      </c>
      <c r="E35" s="2032" t="s">
        <v>402</v>
      </c>
      <c r="F35" s="2032"/>
      <c r="G35" s="2032" t="s">
        <v>235</v>
      </c>
      <c r="H35" s="2032"/>
      <c r="I35" s="2032"/>
      <c r="J35" s="2032"/>
      <c r="K35" s="2032"/>
      <c r="L35" s="2032"/>
      <c r="M35" s="2019" t="s">
        <v>403</v>
      </c>
      <c r="N35" s="2022" t="s">
        <v>401</v>
      </c>
      <c r="O35" s="2025" t="s">
        <v>404</v>
      </c>
      <c r="P35" s="41"/>
    </row>
    <row r="36" spans="3:16" s="596" customFormat="1" ht="53.25" customHeight="1">
      <c r="C36" s="2030"/>
      <c r="D36" s="2020"/>
      <c r="E36" s="2033"/>
      <c r="F36" s="2033"/>
      <c r="G36" s="2034" t="s">
        <v>74</v>
      </c>
      <c r="H36" s="2034"/>
      <c r="I36" s="2023" t="s">
        <v>75</v>
      </c>
      <c r="J36" s="2034" t="s">
        <v>76</v>
      </c>
      <c r="K36" s="2034"/>
      <c r="L36" s="2023" t="s">
        <v>75</v>
      </c>
      <c r="M36" s="2020"/>
      <c r="N36" s="2023"/>
      <c r="O36" s="2026"/>
      <c r="P36" s="41"/>
    </row>
    <row r="37" spans="3:16" s="596" customFormat="1" ht="53.25" customHeight="1">
      <c r="C37" s="2031"/>
      <c r="D37" s="2021"/>
      <c r="E37" s="607" t="s">
        <v>44</v>
      </c>
      <c r="F37" s="607" t="s">
        <v>45</v>
      </c>
      <c r="G37" s="607" t="s">
        <v>44</v>
      </c>
      <c r="H37" s="607" t="s">
        <v>45</v>
      </c>
      <c r="I37" s="2024"/>
      <c r="J37" s="607" t="s">
        <v>44</v>
      </c>
      <c r="K37" s="607" t="s">
        <v>45</v>
      </c>
      <c r="L37" s="2024"/>
      <c r="M37" s="2021"/>
      <c r="N37" s="2024"/>
      <c r="O37" s="2027"/>
      <c r="P37" s="41"/>
    </row>
    <row r="38" spans="3:16" ht="27.75" customHeight="1">
      <c r="C38" s="174" t="str">
        <f>+'ERON 2021'!A2</f>
        <v>EPMSCLET Leticia</v>
      </c>
      <c r="D38" s="186">
        <f>+'PARTE DIC2021'!E10</f>
        <v>118</v>
      </c>
      <c r="E38" s="186">
        <f>+'PARTE DIC2021'!F10</f>
        <v>135</v>
      </c>
      <c r="F38" s="186">
        <f>+'PARTE DIC2021'!G10</f>
        <v>6</v>
      </c>
      <c r="G38" s="186">
        <f>+'PARTE DIC2021'!H10</f>
        <v>75</v>
      </c>
      <c r="H38" s="186">
        <f>+'PARTE DIC2021'!I10</f>
        <v>2</v>
      </c>
      <c r="I38" s="186">
        <f>+'PARTE DIC2021'!J10</f>
        <v>77</v>
      </c>
      <c r="J38" s="186">
        <f>+'PARTE DIC2021'!K10</f>
        <v>60</v>
      </c>
      <c r="K38" s="186">
        <f>+'PARTE DIC2021'!L10</f>
        <v>4</v>
      </c>
      <c r="L38" s="186">
        <f>+'PARTE DIC2021'!M10</f>
        <v>64</v>
      </c>
      <c r="M38" s="186">
        <f>+'PARTE DIC2021'!N10</f>
        <v>141</v>
      </c>
      <c r="N38" s="186">
        <f>+M38-D38</f>
        <v>23</v>
      </c>
      <c r="O38" s="187">
        <f>+M38*1/D38-1</f>
        <v>0.19491525423728806</v>
      </c>
      <c r="P38" s="42"/>
    </row>
    <row r="39" spans="3:16" ht="27.75" customHeight="1">
      <c r="C39" s="175" t="str">
        <f>+'ERON 2021'!A3</f>
        <v>EPMSCSRV Santa Rosa de Viterbo</v>
      </c>
      <c r="D39" s="188">
        <f>+'PARTE DIC2021'!E11</f>
        <v>320</v>
      </c>
      <c r="E39" s="188">
        <f>+'PARTE DIC2021'!F11</f>
        <v>341</v>
      </c>
      <c r="F39" s="188">
        <f>+'PARTE DIC2021'!G11</f>
        <v>0</v>
      </c>
      <c r="G39" s="188">
        <f>+'PARTE DIC2021'!H11</f>
        <v>53</v>
      </c>
      <c r="H39" s="188">
        <f>+'PARTE DIC2021'!I11</f>
        <v>0</v>
      </c>
      <c r="I39" s="188">
        <f>+'PARTE DIC2021'!J11</f>
        <v>53</v>
      </c>
      <c r="J39" s="188">
        <f>+'PARTE DIC2021'!K11</f>
        <v>288</v>
      </c>
      <c r="K39" s="188">
        <f>+'PARTE DIC2021'!L11</f>
        <v>0</v>
      </c>
      <c r="L39" s="188">
        <f>+'PARTE DIC2021'!M11</f>
        <v>288</v>
      </c>
      <c r="M39" s="188">
        <f>+'PARTE DIC2021'!N11</f>
        <v>341</v>
      </c>
      <c r="N39" s="188">
        <f t="shared" ref="N39:N79" si="13">+M39-D39</f>
        <v>21</v>
      </c>
      <c r="O39" s="189">
        <f t="shared" ref="O39:O80" si="14">+M39*1/D39-1</f>
        <v>6.5625000000000044E-2</v>
      </c>
      <c r="P39" s="42"/>
    </row>
    <row r="40" spans="3:16" ht="27.75" customHeight="1">
      <c r="C40" s="176" t="str">
        <f>+'ERON 2021'!A4</f>
        <v>CPMSCHI Chiquinquirá</v>
      </c>
      <c r="D40" s="190">
        <f>+'PARTE DIC2021'!E12</f>
        <v>322</v>
      </c>
      <c r="E40" s="190">
        <f>+'PARTE DIC2021'!F12</f>
        <v>351</v>
      </c>
      <c r="F40" s="190">
        <f>+'PARTE DIC2021'!G12</f>
        <v>0</v>
      </c>
      <c r="G40" s="190">
        <f>+'PARTE DIC2021'!H12</f>
        <v>26</v>
      </c>
      <c r="H40" s="190">
        <f>+'PARTE DIC2021'!I12</f>
        <v>0</v>
      </c>
      <c r="I40" s="190">
        <f>+'PARTE DIC2021'!J12</f>
        <v>26</v>
      </c>
      <c r="J40" s="190">
        <f>+'PARTE DIC2021'!K12</f>
        <v>325</v>
      </c>
      <c r="K40" s="190">
        <f>+'PARTE DIC2021'!L12</f>
        <v>0</v>
      </c>
      <c r="L40" s="190">
        <f>+'PARTE DIC2021'!M12</f>
        <v>325</v>
      </c>
      <c r="M40" s="190">
        <f>+'PARTE DIC2021'!N12</f>
        <v>351</v>
      </c>
      <c r="N40" s="190">
        <f t="shared" si="13"/>
        <v>29</v>
      </c>
      <c r="O40" s="191">
        <f t="shared" si="14"/>
        <v>9.0062111801242128E-2</v>
      </c>
      <c r="P40" s="42"/>
    </row>
    <row r="41" spans="3:16" ht="27.75" customHeight="1">
      <c r="C41" s="175" t="str">
        <f>+'ERON 2021'!A5</f>
        <v>EPMSCDUI Duitama</v>
      </c>
      <c r="D41" s="188">
        <f>+'PARTE DIC2021'!E13</f>
        <v>306</v>
      </c>
      <c r="E41" s="188">
        <f>+'PARTE DIC2021'!F13</f>
        <v>373</v>
      </c>
      <c r="F41" s="188">
        <f>+'PARTE DIC2021'!G13</f>
        <v>0</v>
      </c>
      <c r="G41" s="188">
        <f>+'PARTE DIC2021'!H13</f>
        <v>61</v>
      </c>
      <c r="H41" s="188">
        <f>+'PARTE DIC2021'!I13</f>
        <v>0</v>
      </c>
      <c r="I41" s="188">
        <f>+'PARTE DIC2021'!J13</f>
        <v>61</v>
      </c>
      <c r="J41" s="188">
        <f>+'PARTE DIC2021'!K13</f>
        <v>312</v>
      </c>
      <c r="K41" s="188">
        <f>+'PARTE DIC2021'!L13</f>
        <v>0</v>
      </c>
      <c r="L41" s="188">
        <f>+'PARTE DIC2021'!M13</f>
        <v>312</v>
      </c>
      <c r="M41" s="188">
        <f>+'PARTE DIC2021'!N13</f>
        <v>373</v>
      </c>
      <c r="N41" s="797">
        <f t="shared" si="13"/>
        <v>67</v>
      </c>
      <c r="O41" s="798">
        <f t="shared" si="14"/>
        <v>0.21895424836601318</v>
      </c>
      <c r="P41" s="42"/>
    </row>
    <row r="42" spans="3:16" ht="27.75" customHeight="1">
      <c r="C42" s="176" t="str">
        <f>+'ERON 2021'!A6</f>
        <v>CPMSGAR Garagoa</v>
      </c>
      <c r="D42" s="190">
        <f>+'PARTE DIC2021'!E14</f>
        <v>37</v>
      </c>
      <c r="E42" s="190">
        <f>+'PARTE DIC2021'!F14</f>
        <v>0</v>
      </c>
      <c r="F42" s="190">
        <f>+'PARTE DIC2021'!G14</f>
        <v>0</v>
      </c>
      <c r="G42" s="190">
        <f>+'PARTE DIC2021'!H14</f>
        <v>0</v>
      </c>
      <c r="H42" s="190">
        <f>+'PARTE DIC2021'!I14</f>
        <v>0</v>
      </c>
      <c r="I42" s="190">
        <f>+'PARTE DIC2021'!J14</f>
        <v>0</v>
      </c>
      <c r="J42" s="190">
        <f>+'PARTE DIC2021'!K14</f>
        <v>0</v>
      </c>
      <c r="K42" s="190">
        <f>+'PARTE DIC2021'!L14</f>
        <v>0</v>
      </c>
      <c r="L42" s="190">
        <f>+'PARTE DIC2021'!M14</f>
        <v>0</v>
      </c>
      <c r="M42" s="190">
        <f>+'PARTE DIC2021'!N14</f>
        <v>0</v>
      </c>
      <c r="N42" s="795">
        <f t="shared" si="13"/>
        <v>-37</v>
      </c>
      <c r="O42" s="796">
        <f t="shared" si="14"/>
        <v>-1</v>
      </c>
      <c r="P42" s="42"/>
    </row>
    <row r="43" spans="3:16" ht="27.75" customHeight="1">
      <c r="C43" s="175" t="str">
        <f>+'ERON 2021'!A7</f>
        <v>EPMSCGTQ Guateque</v>
      </c>
      <c r="D43" s="188">
        <f>+'PARTE DIC2021'!E15</f>
        <v>55</v>
      </c>
      <c r="E43" s="188">
        <f>+'PARTE DIC2021'!F15</f>
        <v>57</v>
      </c>
      <c r="F43" s="188">
        <f>+'PARTE DIC2021'!G15</f>
        <v>0</v>
      </c>
      <c r="G43" s="188">
        <f>+'PARTE DIC2021'!H15</f>
        <v>12</v>
      </c>
      <c r="H43" s="188">
        <f>+'PARTE DIC2021'!I15</f>
        <v>0</v>
      </c>
      <c r="I43" s="188">
        <f>+'PARTE DIC2021'!J15</f>
        <v>12</v>
      </c>
      <c r="J43" s="188">
        <f>+'PARTE DIC2021'!K15</f>
        <v>45</v>
      </c>
      <c r="K43" s="188">
        <f>+'PARTE DIC2021'!L15</f>
        <v>0</v>
      </c>
      <c r="L43" s="188">
        <f>+'PARTE DIC2021'!M15</f>
        <v>45</v>
      </c>
      <c r="M43" s="188">
        <f>+'PARTE DIC2021'!N15</f>
        <v>57</v>
      </c>
      <c r="N43" s="188">
        <f t="shared" si="13"/>
        <v>2</v>
      </c>
      <c r="O43" s="189">
        <f t="shared" si="14"/>
        <v>3.6363636363636376E-2</v>
      </c>
      <c r="P43" s="42"/>
    </row>
    <row r="44" spans="3:16" ht="27.75" customHeight="1">
      <c r="C44" s="176" t="str">
        <f>+'ERON 2021'!A8</f>
        <v>CPMSMOQ Moniquirá</v>
      </c>
      <c r="D44" s="190">
        <f>+'PARTE DIC2021'!E16</f>
        <v>73</v>
      </c>
      <c r="E44" s="190">
        <f>+'PARTE DIC2021'!F16</f>
        <v>102</v>
      </c>
      <c r="F44" s="190">
        <f>+'PARTE DIC2021'!G16</f>
        <v>0</v>
      </c>
      <c r="G44" s="190">
        <f>+'PARTE DIC2021'!H16</f>
        <v>17</v>
      </c>
      <c r="H44" s="190">
        <f>+'PARTE DIC2021'!I16</f>
        <v>0</v>
      </c>
      <c r="I44" s="190">
        <f>+'PARTE DIC2021'!J16</f>
        <v>17</v>
      </c>
      <c r="J44" s="190">
        <f>+'PARTE DIC2021'!K16</f>
        <v>85</v>
      </c>
      <c r="K44" s="190">
        <f>+'PARTE DIC2021'!L16</f>
        <v>0</v>
      </c>
      <c r="L44" s="190">
        <f>+'PARTE DIC2021'!M16</f>
        <v>85</v>
      </c>
      <c r="M44" s="190">
        <f>+'PARTE DIC2021'!N16</f>
        <v>102</v>
      </c>
      <c r="N44" s="190">
        <f t="shared" si="13"/>
        <v>29</v>
      </c>
      <c r="O44" s="191">
        <f t="shared" si="14"/>
        <v>0.39726027397260277</v>
      </c>
      <c r="P44" s="42"/>
    </row>
    <row r="45" spans="3:16" ht="27.75" customHeight="1">
      <c r="C45" s="175" t="str">
        <f>+'ERON 2021'!A9</f>
        <v>CPMSRAM Ramiriquí</v>
      </c>
      <c r="D45" s="188">
        <f>+'PARTE DIC2021'!E17</f>
        <v>122</v>
      </c>
      <c r="E45" s="188">
        <f>+'PARTE DIC2021'!F17</f>
        <v>144</v>
      </c>
      <c r="F45" s="188">
        <f>+'PARTE DIC2021'!G17</f>
        <v>0</v>
      </c>
      <c r="G45" s="188">
        <f>+'PARTE DIC2021'!H17</f>
        <v>29</v>
      </c>
      <c r="H45" s="188">
        <f>+'PARTE DIC2021'!I17</f>
        <v>0</v>
      </c>
      <c r="I45" s="188">
        <f>+'PARTE DIC2021'!J17</f>
        <v>29</v>
      </c>
      <c r="J45" s="188">
        <f>+'PARTE DIC2021'!K17</f>
        <v>115</v>
      </c>
      <c r="K45" s="188">
        <f>+'PARTE DIC2021'!L17</f>
        <v>0</v>
      </c>
      <c r="L45" s="188">
        <f>+'PARTE DIC2021'!M17</f>
        <v>115</v>
      </c>
      <c r="M45" s="188">
        <f>+'PARTE DIC2021'!N17</f>
        <v>144</v>
      </c>
      <c r="N45" s="188">
        <f t="shared" si="13"/>
        <v>22</v>
      </c>
      <c r="O45" s="189">
        <f t="shared" si="14"/>
        <v>0.18032786885245899</v>
      </c>
      <c r="P45" s="42"/>
    </row>
    <row r="46" spans="3:16" ht="27.75" customHeight="1">
      <c r="C46" s="176" t="str">
        <f>+'ERON 2021'!A10</f>
        <v>EPMSCSOG-RM-JP Sogamoso</v>
      </c>
      <c r="D46" s="190">
        <f>+'PARTE DIC2021'!E18</f>
        <v>395</v>
      </c>
      <c r="E46" s="190">
        <f>+'PARTE DIC2021'!F18</f>
        <v>388</v>
      </c>
      <c r="F46" s="190">
        <f>+'PARTE DIC2021'!G18</f>
        <v>128</v>
      </c>
      <c r="G46" s="190">
        <f>+'PARTE DIC2021'!H18</f>
        <v>77</v>
      </c>
      <c r="H46" s="190">
        <f>+'PARTE DIC2021'!I18</f>
        <v>51</v>
      </c>
      <c r="I46" s="190">
        <f>+'PARTE DIC2021'!J18</f>
        <v>128</v>
      </c>
      <c r="J46" s="190">
        <f>+'PARTE DIC2021'!K18</f>
        <v>311</v>
      </c>
      <c r="K46" s="190">
        <f>+'PARTE DIC2021'!L18</f>
        <v>77</v>
      </c>
      <c r="L46" s="190">
        <f>+'PARTE DIC2021'!M18</f>
        <v>388</v>
      </c>
      <c r="M46" s="190">
        <f>+'PARTE DIC2021'!N18</f>
        <v>516</v>
      </c>
      <c r="N46" s="190">
        <f t="shared" si="13"/>
        <v>121</v>
      </c>
      <c r="O46" s="191">
        <f t="shared" si="14"/>
        <v>0.30632911392405071</v>
      </c>
      <c r="P46" s="42"/>
    </row>
    <row r="47" spans="3:16" ht="27.75" customHeight="1">
      <c r="C47" s="175" t="str">
        <f>+'ERON 2021'!A11</f>
        <v>COBOG-ERE-JP Bogotá</v>
      </c>
      <c r="D47" s="188">
        <f>+'PARTE DIC2021'!E19</f>
        <v>5970</v>
      </c>
      <c r="E47" s="188">
        <f>+'PARTE DIC2021'!F19</f>
        <v>6873</v>
      </c>
      <c r="F47" s="188">
        <f>+'PARTE DIC2021'!G19</f>
        <v>4</v>
      </c>
      <c r="G47" s="188">
        <f>+'PARTE DIC2021'!H19</f>
        <v>1703</v>
      </c>
      <c r="H47" s="188">
        <f>+'PARTE DIC2021'!I19</f>
        <v>0</v>
      </c>
      <c r="I47" s="188">
        <f>+'PARTE DIC2021'!J19</f>
        <v>1703</v>
      </c>
      <c r="J47" s="188">
        <f>+'PARTE DIC2021'!K19</f>
        <v>5170</v>
      </c>
      <c r="K47" s="188">
        <f>+'PARTE DIC2021'!L19</f>
        <v>4</v>
      </c>
      <c r="L47" s="188">
        <f>+'PARTE DIC2021'!M19</f>
        <v>5174</v>
      </c>
      <c r="M47" s="188">
        <f>+'PARTE DIC2021'!N19</f>
        <v>6877</v>
      </c>
      <c r="N47" s="188">
        <f t="shared" si="13"/>
        <v>907</v>
      </c>
      <c r="O47" s="189">
        <f t="shared" si="14"/>
        <v>0.15192629815745384</v>
      </c>
      <c r="P47" s="42"/>
    </row>
    <row r="48" spans="3:16" ht="27.75" customHeight="1">
      <c r="C48" s="176" t="str">
        <f>+'ERON 2021'!A12</f>
        <v>CPMSBOG - Bogotá</v>
      </c>
      <c r="D48" s="190">
        <f>+'PARTE DIC2021'!E20</f>
        <v>2905</v>
      </c>
      <c r="E48" s="190">
        <f>+'PARTE DIC2021'!F20</f>
        <v>3360</v>
      </c>
      <c r="F48" s="190">
        <f>+'PARTE DIC2021'!G20</f>
        <v>0</v>
      </c>
      <c r="G48" s="190">
        <f>+'PARTE DIC2021'!H20</f>
        <v>917</v>
      </c>
      <c r="H48" s="190">
        <f>+'PARTE DIC2021'!I20</f>
        <v>0</v>
      </c>
      <c r="I48" s="190">
        <f>+'PARTE DIC2021'!J20</f>
        <v>917</v>
      </c>
      <c r="J48" s="190">
        <f>+'PARTE DIC2021'!K20</f>
        <v>2443</v>
      </c>
      <c r="K48" s="190">
        <f>+'PARTE DIC2021'!L20</f>
        <v>0</v>
      </c>
      <c r="L48" s="190">
        <f>+'PARTE DIC2021'!M20</f>
        <v>2443</v>
      </c>
      <c r="M48" s="190">
        <f>+'PARTE DIC2021'!N20</f>
        <v>3360</v>
      </c>
      <c r="N48" s="190">
        <f t="shared" si="13"/>
        <v>455</v>
      </c>
      <c r="O48" s="191">
        <f t="shared" si="14"/>
        <v>0.15662650602409633</v>
      </c>
      <c r="P48" s="42"/>
    </row>
    <row r="49" spans="3:16" ht="27.75" customHeight="1">
      <c r="C49" s="175" t="str">
        <f>+'ERON 2021'!A13</f>
        <v>EPMSCCAQ Cáqueza</v>
      </c>
      <c r="D49" s="188">
        <f>+'PARTE DIC2021'!E21</f>
        <v>108</v>
      </c>
      <c r="E49" s="188">
        <f>+'PARTE DIC2021'!F21</f>
        <v>157</v>
      </c>
      <c r="F49" s="188">
        <f>+'PARTE DIC2021'!G21</f>
        <v>0</v>
      </c>
      <c r="G49" s="188">
        <f>+'PARTE DIC2021'!H21</f>
        <v>56</v>
      </c>
      <c r="H49" s="188">
        <f>+'PARTE DIC2021'!I21</f>
        <v>0</v>
      </c>
      <c r="I49" s="188">
        <f>+'PARTE DIC2021'!J21</f>
        <v>56</v>
      </c>
      <c r="J49" s="188">
        <f>+'PARTE DIC2021'!K21</f>
        <v>101</v>
      </c>
      <c r="K49" s="188">
        <f>+'PARTE DIC2021'!L21</f>
        <v>0</v>
      </c>
      <c r="L49" s="188">
        <f>+'PARTE DIC2021'!M21</f>
        <v>101</v>
      </c>
      <c r="M49" s="188">
        <f>+'PARTE DIC2021'!N21</f>
        <v>157</v>
      </c>
      <c r="N49" s="188">
        <f t="shared" si="13"/>
        <v>49</v>
      </c>
      <c r="O49" s="189">
        <f t="shared" si="14"/>
        <v>0.45370370370370372</v>
      </c>
      <c r="P49" s="42"/>
    </row>
    <row r="50" spans="3:16" ht="27.75" customHeight="1">
      <c r="C50" s="176" t="str">
        <f>+'ERON 2021'!A14</f>
        <v>CPMSCHO Chocontá</v>
      </c>
      <c r="D50" s="190">
        <f>+'PARTE DIC2021'!E22</f>
        <v>112</v>
      </c>
      <c r="E50" s="190">
        <f>+'PARTE DIC2021'!F22</f>
        <v>144</v>
      </c>
      <c r="F50" s="190">
        <f>+'PARTE DIC2021'!G22</f>
        <v>0</v>
      </c>
      <c r="G50" s="190">
        <f>+'PARTE DIC2021'!H22</f>
        <v>40</v>
      </c>
      <c r="H50" s="190">
        <f>+'PARTE DIC2021'!I22</f>
        <v>0</v>
      </c>
      <c r="I50" s="190">
        <f>+'PARTE DIC2021'!J22</f>
        <v>40</v>
      </c>
      <c r="J50" s="190">
        <f>+'PARTE DIC2021'!K22</f>
        <v>104</v>
      </c>
      <c r="K50" s="190">
        <f>+'PARTE DIC2021'!L22</f>
        <v>0</v>
      </c>
      <c r="L50" s="190">
        <f>+'PARTE DIC2021'!M22</f>
        <v>104</v>
      </c>
      <c r="M50" s="190">
        <f>+'PARTE DIC2021'!N22</f>
        <v>144</v>
      </c>
      <c r="N50" s="190">
        <f t="shared" si="13"/>
        <v>32</v>
      </c>
      <c r="O50" s="191">
        <f t="shared" si="14"/>
        <v>0.28571428571428581</v>
      </c>
      <c r="P50" s="42"/>
    </row>
    <row r="51" spans="3:16" ht="27.75" customHeight="1">
      <c r="C51" s="175" t="str">
        <f>+'ERON 2021'!A15</f>
        <v>CPMSFUS - CAM Fusagasugá</v>
      </c>
      <c r="D51" s="188">
        <f>+'PARTE DIC2021'!E23</f>
        <v>153</v>
      </c>
      <c r="E51" s="188">
        <f>+'PARTE DIC2021'!F23</f>
        <v>221</v>
      </c>
      <c r="F51" s="188">
        <f>+'PARTE DIC2021'!G23</f>
        <v>0</v>
      </c>
      <c r="G51" s="188">
        <f>+'PARTE DIC2021'!H23</f>
        <v>46</v>
      </c>
      <c r="H51" s="188">
        <f>+'PARTE DIC2021'!I23</f>
        <v>0</v>
      </c>
      <c r="I51" s="188">
        <f>+'PARTE DIC2021'!J23</f>
        <v>46</v>
      </c>
      <c r="J51" s="188">
        <f>+'PARTE DIC2021'!K23</f>
        <v>175</v>
      </c>
      <c r="K51" s="188">
        <f>+'PARTE DIC2021'!L23</f>
        <v>0</v>
      </c>
      <c r="L51" s="188">
        <f>+'PARTE DIC2021'!M23</f>
        <v>175</v>
      </c>
      <c r="M51" s="188">
        <f>+'PARTE DIC2021'!N23</f>
        <v>221</v>
      </c>
      <c r="N51" s="797">
        <f t="shared" si="13"/>
        <v>68</v>
      </c>
      <c r="O51" s="798">
        <f t="shared" si="14"/>
        <v>0.44444444444444442</v>
      </c>
      <c r="P51" s="42"/>
    </row>
    <row r="52" spans="3:16" ht="27.75" customHeight="1">
      <c r="C52" s="176" t="str">
        <f>+'ERON 2021'!A16</f>
        <v>CPMSGAC Gachetá</v>
      </c>
      <c r="D52" s="190">
        <f>+'PARTE DIC2021'!E24</f>
        <v>58</v>
      </c>
      <c r="E52" s="190">
        <f>+'PARTE DIC2021'!F24</f>
        <v>50</v>
      </c>
      <c r="F52" s="190">
        <f>+'PARTE DIC2021'!G24</f>
        <v>0</v>
      </c>
      <c r="G52" s="190">
        <f>+'PARTE DIC2021'!H24</f>
        <v>12</v>
      </c>
      <c r="H52" s="190">
        <f>+'PARTE DIC2021'!I24</f>
        <v>0</v>
      </c>
      <c r="I52" s="190">
        <f>+'PARTE DIC2021'!J24</f>
        <v>12</v>
      </c>
      <c r="J52" s="190">
        <f>+'PARTE DIC2021'!K24</f>
        <v>38</v>
      </c>
      <c r="K52" s="190">
        <f>+'PARTE DIC2021'!L24</f>
        <v>0</v>
      </c>
      <c r="L52" s="190">
        <f>+'PARTE DIC2021'!M24</f>
        <v>38</v>
      </c>
      <c r="M52" s="190">
        <f>+'PARTE DIC2021'!N24</f>
        <v>50</v>
      </c>
      <c r="N52" s="795">
        <f t="shared" si="13"/>
        <v>-8</v>
      </c>
      <c r="O52" s="796">
        <f t="shared" si="14"/>
        <v>-0.13793103448275867</v>
      </c>
      <c r="P52" s="42"/>
    </row>
    <row r="53" spans="3:16" ht="27.75" customHeight="1">
      <c r="C53" s="175" t="str">
        <f>+'ERON 2021'!A17</f>
        <v>CPMSLMS La Mesa</v>
      </c>
      <c r="D53" s="188">
        <f>+'PARTE DIC2021'!E25</f>
        <v>60</v>
      </c>
      <c r="E53" s="188">
        <f>+'PARTE DIC2021'!F25</f>
        <v>110</v>
      </c>
      <c r="F53" s="188">
        <f>+'PARTE DIC2021'!G25</f>
        <v>0</v>
      </c>
      <c r="G53" s="188">
        <f>+'PARTE DIC2021'!H25</f>
        <v>12</v>
      </c>
      <c r="H53" s="188">
        <f>+'PARTE DIC2021'!I25</f>
        <v>0</v>
      </c>
      <c r="I53" s="188">
        <f>+'PARTE DIC2021'!J25</f>
        <v>12</v>
      </c>
      <c r="J53" s="188">
        <f>+'PARTE DIC2021'!K25</f>
        <v>98</v>
      </c>
      <c r="K53" s="188">
        <f>+'PARTE DIC2021'!L25</f>
        <v>0</v>
      </c>
      <c r="L53" s="188">
        <f>+'PARTE DIC2021'!M25</f>
        <v>98</v>
      </c>
      <c r="M53" s="188">
        <f>+'PARTE DIC2021'!N25</f>
        <v>110</v>
      </c>
      <c r="N53" s="188">
        <f t="shared" si="13"/>
        <v>50</v>
      </c>
      <c r="O53" s="189">
        <f t="shared" si="14"/>
        <v>0.83333333333333326</v>
      </c>
      <c r="P53" s="42"/>
    </row>
    <row r="54" spans="3:16" ht="27.75" customHeight="1">
      <c r="C54" s="176" t="str">
        <f>+'ERON 2021'!A18</f>
        <v>CPMSUBA Ubaté</v>
      </c>
      <c r="D54" s="190">
        <f>+'PARTE DIC2021'!E26</f>
        <v>117</v>
      </c>
      <c r="E54" s="190">
        <f>+'PARTE DIC2021'!F26</f>
        <v>119</v>
      </c>
      <c r="F54" s="190">
        <f>+'PARTE DIC2021'!G26</f>
        <v>0</v>
      </c>
      <c r="G54" s="190">
        <f>+'PARTE DIC2021'!H26</f>
        <v>29</v>
      </c>
      <c r="H54" s="190">
        <f>+'PARTE DIC2021'!I26</f>
        <v>0</v>
      </c>
      <c r="I54" s="190">
        <f>+'PARTE DIC2021'!J26</f>
        <v>29</v>
      </c>
      <c r="J54" s="190">
        <f>+'PARTE DIC2021'!K26</f>
        <v>90</v>
      </c>
      <c r="K54" s="190">
        <f>+'PARTE DIC2021'!L26</f>
        <v>0</v>
      </c>
      <c r="L54" s="190">
        <f>+'PARTE DIC2021'!M26</f>
        <v>90</v>
      </c>
      <c r="M54" s="190">
        <f>+'PARTE DIC2021'!N26</f>
        <v>119</v>
      </c>
      <c r="N54" s="190">
        <f t="shared" si="13"/>
        <v>2</v>
      </c>
      <c r="O54" s="191">
        <f t="shared" si="14"/>
        <v>1.7094017094017033E-2</v>
      </c>
      <c r="P54" s="42"/>
    </row>
    <row r="55" spans="3:16" ht="27.75" customHeight="1">
      <c r="C55" s="175" t="str">
        <f>+'ERON 2021'!A19</f>
        <v>CPMSVILL Villeta</v>
      </c>
      <c r="D55" s="188">
        <f>+'PARTE DIC2021'!E27</f>
        <v>70</v>
      </c>
      <c r="E55" s="188">
        <f>+'PARTE DIC2021'!F27</f>
        <v>86</v>
      </c>
      <c r="F55" s="188">
        <f>+'PARTE DIC2021'!G27</f>
        <v>0</v>
      </c>
      <c r="G55" s="188">
        <f>+'PARTE DIC2021'!H27</f>
        <v>43</v>
      </c>
      <c r="H55" s="188">
        <f>+'PARTE DIC2021'!I27</f>
        <v>0</v>
      </c>
      <c r="I55" s="188">
        <f>+'PARTE DIC2021'!J27</f>
        <v>43</v>
      </c>
      <c r="J55" s="188">
        <f>+'PARTE DIC2021'!K27</f>
        <v>43</v>
      </c>
      <c r="K55" s="188">
        <f>+'PARTE DIC2021'!L27</f>
        <v>0</v>
      </c>
      <c r="L55" s="188">
        <f>+'PARTE DIC2021'!M27</f>
        <v>43</v>
      </c>
      <c r="M55" s="188">
        <f>+'PARTE DIC2021'!N27</f>
        <v>86</v>
      </c>
      <c r="N55" s="188">
        <f t="shared" si="13"/>
        <v>16</v>
      </c>
      <c r="O55" s="189">
        <f t="shared" si="14"/>
        <v>0.22857142857142865</v>
      </c>
      <c r="P55" s="42"/>
    </row>
    <row r="56" spans="3:16" ht="27.75" customHeight="1">
      <c r="C56" s="176" t="str">
        <f>+'ERON 2021'!A20</f>
        <v>EPMSCZIP Zipaquirá</v>
      </c>
      <c r="D56" s="190">
        <f>+'PARTE DIC2021'!E28</f>
        <v>152</v>
      </c>
      <c r="E56" s="190">
        <f>+'PARTE DIC2021'!F28</f>
        <v>165</v>
      </c>
      <c r="F56" s="190">
        <f>+'PARTE DIC2021'!G28</f>
        <v>0</v>
      </c>
      <c r="G56" s="190">
        <f>+'PARTE DIC2021'!H28</f>
        <v>67</v>
      </c>
      <c r="H56" s="190">
        <f>+'PARTE DIC2021'!I28</f>
        <v>0</v>
      </c>
      <c r="I56" s="190">
        <f>+'PARTE DIC2021'!J28</f>
        <v>67</v>
      </c>
      <c r="J56" s="190">
        <f>+'PARTE DIC2021'!K28</f>
        <v>98</v>
      </c>
      <c r="K56" s="190">
        <f>+'PARTE DIC2021'!L28</f>
        <v>0</v>
      </c>
      <c r="L56" s="190">
        <f>+'PARTE DIC2021'!M28</f>
        <v>98</v>
      </c>
      <c r="M56" s="190">
        <f>+'PARTE DIC2021'!N28</f>
        <v>165</v>
      </c>
      <c r="N56" s="190">
        <f t="shared" si="13"/>
        <v>13</v>
      </c>
      <c r="O56" s="191">
        <f t="shared" si="14"/>
        <v>8.5526315789473673E-2</v>
      </c>
      <c r="P56" s="42"/>
    </row>
    <row r="57" spans="3:16" ht="27.75" customHeight="1">
      <c r="C57" s="175" t="str">
        <f>+'ERON 2021'!A21</f>
        <v>CPAMSMBOG-ERE Bogotá</v>
      </c>
      <c r="D57" s="188">
        <f>+'PARTE DIC2021'!E29</f>
        <v>1246</v>
      </c>
      <c r="E57" s="188">
        <f>+'PARTE DIC2021'!F29</f>
        <v>0</v>
      </c>
      <c r="F57" s="188">
        <f>+'PARTE DIC2021'!G29</f>
        <v>1784</v>
      </c>
      <c r="G57" s="188">
        <f>+'PARTE DIC2021'!H29</f>
        <v>0</v>
      </c>
      <c r="H57" s="188">
        <f>+'PARTE DIC2021'!I29</f>
        <v>708</v>
      </c>
      <c r="I57" s="188">
        <f>+'PARTE DIC2021'!J29</f>
        <v>708</v>
      </c>
      <c r="J57" s="188">
        <f>+'PARTE DIC2021'!K29</f>
        <v>0</v>
      </c>
      <c r="K57" s="188">
        <f>+'PARTE DIC2021'!L29</f>
        <v>1076</v>
      </c>
      <c r="L57" s="188">
        <f>+'PARTE DIC2021'!M29</f>
        <v>1076</v>
      </c>
      <c r="M57" s="188">
        <f>+'PARTE DIC2021'!N29</f>
        <v>1784</v>
      </c>
      <c r="N57" s="797">
        <f t="shared" si="13"/>
        <v>538</v>
      </c>
      <c r="O57" s="798">
        <f t="shared" si="14"/>
        <v>0.4317817014446228</v>
      </c>
      <c r="P57" s="42"/>
    </row>
    <row r="58" spans="3:16" ht="27.75" customHeight="1">
      <c r="C58" s="176" t="str">
        <f>+'ERON 2021'!A22</f>
        <v>CAMISACS Acacias</v>
      </c>
      <c r="D58" s="190">
        <f>+'PARTE DIC2021'!E30</f>
        <v>1098</v>
      </c>
      <c r="E58" s="190">
        <f>+'PARTE DIC2021'!F30</f>
        <v>890</v>
      </c>
      <c r="F58" s="190">
        <f>+'PARTE DIC2021'!G30</f>
        <v>0</v>
      </c>
      <c r="G58" s="190">
        <f>+'PARTE DIC2021'!H30</f>
        <v>13</v>
      </c>
      <c r="H58" s="190">
        <f>+'PARTE DIC2021'!I30</f>
        <v>0</v>
      </c>
      <c r="I58" s="190">
        <f>+'PARTE DIC2021'!J30</f>
        <v>13</v>
      </c>
      <c r="J58" s="190">
        <f>+'PARTE DIC2021'!K30</f>
        <v>877</v>
      </c>
      <c r="K58" s="190">
        <f>+'PARTE DIC2021'!L30</f>
        <v>0</v>
      </c>
      <c r="L58" s="190">
        <f>+'PARTE DIC2021'!M30</f>
        <v>877</v>
      </c>
      <c r="M58" s="190">
        <f>+'PARTE DIC2021'!N30</f>
        <v>890</v>
      </c>
      <c r="N58" s="799">
        <f t="shared" si="13"/>
        <v>-208</v>
      </c>
      <c r="O58" s="800">
        <f t="shared" si="14"/>
        <v>-0.18943533697632053</v>
      </c>
      <c r="P58" s="42"/>
    </row>
    <row r="59" spans="3:16" ht="27.75" customHeight="1">
      <c r="C59" s="175" t="str">
        <f>+'ERON 2021'!A23</f>
        <v>EPMSCVILLV Villavicencio</v>
      </c>
      <c r="D59" s="188">
        <f>+'PARTE DIC2021'!E31</f>
        <v>899</v>
      </c>
      <c r="E59" s="188">
        <f>+'PARTE DIC2021'!F31</f>
        <v>1342</v>
      </c>
      <c r="F59" s="188">
        <f>+'PARTE DIC2021'!G31</f>
        <v>0</v>
      </c>
      <c r="G59" s="188">
        <f>+'PARTE DIC2021'!H31</f>
        <v>738</v>
      </c>
      <c r="H59" s="188">
        <f>+'PARTE DIC2021'!I31</f>
        <v>0</v>
      </c>
      <c r="I59" s="188">
        <f>+'PARTE DIC2021'!J31</f>
        <v>738</v>
      </c>
      <c r="J59" s="188">
        <f>+'PARTE DIC2021'!K31</f>
        <v>604</v>
      </c>
      <c r="K59" s="188">
        <f>+'PARTE DIC2021'!L31</f>
        <v>0</v>
      </c>
      <c r="L59" s="188">
        <f>+'PARTE DIC2021'!M31</f>
        <v>604</v>
      </c>
      <c r="M59" s="188">
        <f>+'PARTE DIC2021'!N31</f>
        <v>1342</v>
      </c>
      <c r="N59" s="801">
        <f t="shared" si="13"/>
        <v>443</v>
      </c>
      <c r="O59" s="802">
        <f t="shared" si="14"/>
        <v>0.49276974416017794</v>
      </c>
      <c r="P59" s="42"/>
    </row>
    <row r="60" spans="3:16" ht="27.75" customHeight="1">
      <c r="C60" s="176" t="str">
        <f>+'ERON 2021'!A24</f>
        <v>EPMSCGRA Granada</v>
      </c>
      <c r="D60" s="190">
        <f>+'PARTE DIC2021'!E32</f>
        <v>120</v>
      </c>
      <c r="E60" s="190">
        <f>+'PARTE DIC2021'!F32</f>
        <v>192</v>
      </c>
      <c r="F60" s="190">
        <f>+'PARTE DIC2021'!G32</f>
        <v>0</v>
      </c>
      <c r="G60" s="190">
        <f>+'PARTE DIC2021'!H32</f>
        <v>83</v>
      </c>
      <c r="H60" s="190">
        <f>+'PARTE DIC2021'!I32</f>
        <v>0</v>
      </c>
      <c r="I60" s="190">
        <f>+'PARTE DIC2021'!J32</f>
        <v>83</v>
      </c>
      <c r="J60" s="190">
        <f>+'PARTE DIC2021'!K32</f>
        <v>109</v>
      </c>
      <c r="K60" s="190">
        <f>+'PARTE DIC2021'!L32</f>
        <v>0</v>
      </c>
      <c r="L60" s="190">
        <f>+'PARTE DIC2021'!M32</f>
        <v>109</v>
      </c>
      <c r="M60" s="190">
        <f>+'PARTE DIC2021'!N32</f>
        <v>192</v>
      </c>
      <c r="N60" s="190">
        <f t="shared" si="13"/>
        <v>72</v>
      </c>
      <c r="O60" s="191">
        <f t="shared" si="14"/>
        <v>0.60000000000000009</v>
      </c>
      <c r="P60" s="42"/>
    </row>
    <row r="61" spans="3:16" ht="27.75" customHeight="1">
      <c r="C61" s="175" t="str">
        <f>+'ERON 2021'!A25</f>
        <v>CPMSMEL Melgar</v>
      </c>
      <c r="D61" s="188">
        <f>+'PARTE DIC2021'!E33</f>
        <v>90</v>
      </c>
      <c r="E61" s="188">
        <f>+'PARTE DIC2021'!F33</f>
        <v>83</v>
      </c>
      <c r="F61" s="188">
        <f>+'PARTE DIC2021'!G33</f>
        <v>0</v>
      </c>
      <c r="G61" s="188">
        <f>+'PARTE DIC2021'!H33</f>
        <v>8</v>
      </c>
      <c r="H61" s="188">
        <f>+'PARTE DIC2021'!I33</f>
        <v>0</v>
      </c>
      <c r="I61" s="188">
        <f>+'PARTE DIC2021'!J33</f>
        <v>8</v>
      </c>
      <c r="J61" s="188">
        <f>+'PARTE DIC2021'!K33</f>
        <v>75</v>
      </c>
      <c r="K61" s="188">
        <f>+'PARTE DIC2021'!L33</f>
        <v>0</v>
      </c>
      <c r="L61" s="188">
        <f>+'PARTE DIC2021'!M33</f>
        <v>75</v>
      </c>
      <c r="M61" s="188">
        <f>+'PARTE DIC2021'!N33</f>
        <v>83</v>
      </c>
      <c r="N61" s="793">
        <f t="shared" si="13"/>
        <v>-7</v>
      </c>
      <c r="O61" s="794">
        <f t="shared" si="14"/>
        <v>-7.7777777777777724E-2</v>
      </c>
      <c r="P61" s="42"/>
    </row>
    <row r="62" spans="3:16" ht="27.75" customHeight="1">
      <c r="C62" s="176" t="str">
        <f>+'ERON 2021'!A26</f>
        <v>EPMSCGIR Girardot</v>
      </c>
      <c r="D62" s="190">
        <f>+'PARTE DIC2021'!E34</f>
        <v>899</v>
      </c>
      <c r="E62" s="190">
        <f>+'PARTE DIC2021'!F34</f>
        <v>892</v>
      </c>
      <c r="F62" s="190">
        <f>+'PARTE DIC2021'!G34</f>
        <v>0</v>
      </c>
      <c r="G62" s="190">
        <f>+'PARTE DIC2021'!H34</f>
        <v>272</v>
      </c>
      <c r="H62" s="190">
        <f>+'PARTE DIC2021'!I34</f>
        <v>0</v>
      </c>
      <c r="I62" s="190">
        <f>+'PARTE DIC2021'!J34</f>
        <v>272</v>
      </c>
      <c r="J62" s="190">
        <f>+'PARTE DIC2021'!K34</f>
        <v>620</v>
      </c>
      <c r="K62" s="190">
        <f>+'PARTE DIC2021'!L34</f>
        <v>0</v>
      </c>
      <c r="L62" s="190">
        <f>+'PARTE DIC2021'!M34</f>
        <v>620</v>
      </c>
      <c r="M62" s="190">
        <f>+'PARTE DIC2021'!N34</f>
        <v>892</v>
      </c>
      <c r="N62" s="799">
        <f t="shared" si="13"/>
        <v>-7</v>
      </c>
      <c r="O62" s="800">
        <f t="shared" si="14"/>
        <v>-7.7864293659621886E-3</v>
      </c>
      <c r="P62" s="42"/>
    </row>
    <row r="63" spans="3:16" ht="27.75" customHeight="1">
      <c r="C63" s="175" t="str">
        <f>+'ERON 2021'!A27</f>
        <v>EPMSCNEI Neiva</v>
      </c>
      <c r="D63" s="188">
        <f>+'PARTE DIC2021'!E35</f>
        <v>984</v>
      </c>
      <c r="E63" s="188">
        <f>+'PARTE DIC2021'!F35</f>
        <v>1330</v>
      </c>
      <c r="F63" s="188">
        <f>+'PARTE DIC2021'!G35</f>
        <v>117</v>
      </c>
      <c r="G63" s="188">
        <f>+'PARTE DIC2021'!H35</f>
        <v>413</v>
      </c>
      <c r="H63" s="188">
        <f>+'PARTE DIC2021'!I35</f>
        <v>44</v>
      </c>
      <c r="I63" s="188">
        <f>+'PARTE DIC2021'!J35</f>
        <v>457</v>
      </c>
      <c r="J63" s="188">
        <f>+'PARTE DIC2021'!K35</f>
        <v>917</v>
      </c>
      <c r="K63" s="188">
        <f>+'PARTE DIC2021'!L35</f>
        <v>73</v>
      </c>
      <c r="L63" s="188">
        <f>+'PARTE DIC2021'!M35</f>
        <v>990</v>
      </c>
      <c r="M63" s="188">
        <f>+'PARTE DIC2021'!N35</f>
        <v>1447</v>
      </c>
      <c r="N63" s="801">
        <f t="shared" si="13"/>
        <v>463</v>
      </c>
      <c r="O63" s="802">
        <f t="shared" si="14"/>
        <v>0.47052845528455278</v>
      </c>
      <c r="P63" s="42"/>
    </row>
    <row r="64" spans="3:16" ht="27.75" customHeight="1">
      <c r="C64" s="176" t="str">
        <f>+'ERON 2021'!A28</f>
        <v>CPMSGAZ Garzón</v>
      </c>
      <c r="D64" s="190">
        <f>+'PARTE DIC2021'!E36</f>
        <v>291</v>
      </c>
      <c r="E64" s="190">
        <f>+'PARTE DIC2021'!F36</f>
        <v>371</v>
      </c>
      <c r="F64" s="190">
        <f>+'PARTE DIC2021'!G36</f>
        <v>23</v>
      </c>
      <c r="G64" s="190">
        <f>+'PARTE DIC2021'!H36</f>
        <v>212</v>
      </c>
      <c r="H64" s="190">
        <f>+'PARTE DIC2021'!I36</f>
        <v>15</v>
      </c>
      <c r="I64" s="190">
        <f>+'PARTE DIC2021'!J36</f>
        <v>227</v>
      </c>
      <c r="J64" s="190">
        <f>+'PARTE DIC2021'!K36</f>
        <v>159</v>
      </c>
      <c r="K64" s="190">
        <f>+'PARTE DIC2021'!L36</f>
        <v>8</v>
      </c>
      <c r="L64" s="190">
        <f>+'PARTE DIC2021'!M36</f>
        <v>167</v>
      </c>
      <c r="M64" s="190">
        <f>+'PARTE DIC2021'!N36</f>
        <v>394</v>
      </c>
      <c r="N64" s="190">
        <f t="shared" si="13"/>
        <v>103</v>
      </c>
      <c r="O64" s="191">
        <f t="shared" si="14"/>
        <v>0.35395189003436434</v>
      </c>
      <c r="P64" s="42"/>
    </row>
    <row r="65" spans="3:16" ht="27.75" customHeight="1">
      <c r="C65" s="175" t="str">
        <f>+'ERON 2021'!A29</f>
        <v>EPMSCLPL La Plata</v>
      </c>
      <c r="D65" s="188">
        <f>+'PARTE DIC2021'!E37</f>
        <v>304</v>
      </c>
      <c r="E65" s="188">
        <f>+'PARTE DIC2021'!F37</f>
        <v>380</v>
      </c>
      <c r="F65" s="188">
        <f>+'PARTE DIC2021'!G37</f>
        <v>0</v>
      </c>
      <c r="G65" s="188">
        <f>+'PARTE DIC2021'!H37</f>
        <v>145</v>
      </c>
      <c r="H65" s="188">
        <f>+'PARTE DIC2021'!I37</f>
        <v>0</v>
      </c>
      <c r="I65" s="188">
        <f>+'PARTE DIC2021'!J37</f>
        <v>145</v>
      </c>
      <c r="J65" s="188">
        <f>+'PARTE DIC2021'!K37</f>
        <v>235</v>
      </c>
      <c r="K65" s="188">
        <f>+'PARTE DIC2021'!L37</f>
        <v>0</v>
      </c>
      <c r="L65" s="188">
        <f>+'PARTE DIC2021'!M37</f>
        <v>235</v>
      </c>
      <c r="M65" s="188">
        <f>+'PARTE DIC2021'!N37</f>
        <v>380</v>
      </c>
      <c r="N65" s="188">
        <f t="shared" si="13"/>
        <v>76</v>
      </c>
      <c r="O65" s="189">
        <f t="shared" si="14"/>
        <v>0.25</v>
      </c>
      <c r="P65" s="42"/>
    </row>
    <row r="66" spans="3:16" ht="27.75" customHeight="1">
      <c r="C66" s="176" t="str">
        <f>+'ERON 2021'!A30</f>
        <v>EPMSCPIT Pitalito</v>
      </c>
      <c r="D66" s="190">
        <f>+'PARTE DIC2021'!E38</f>
        <v>650</v>
      </c>
      <c r="E66" s="190">
        <f>+'PARTE DIC2021'!F38</f>
        <v>811</v>
      </c>
      <c r="F66" s="190">
        <f>+'PARTE DIC2021'!G38</f>
        <v>30</v>
      </c>
      <c r="G66" s="190">
        <f>+'PARTE DIC2021'!H38</f>
        <v>298</v>
      </c>
      <c r="H66" s="190">
        <f>+'PARTE DIC2021'!I38</f>
        <v>16</v>
      </c>
      <c r="I66" s="190">
        <f>+'PARTE DIC2021'!J38</f>
        <v>314</v>
      </c>
      <c r="J66" s="190">
        <f>+'PARTE DIC2021'!K38</f>
        <v>513</v>
      </c>
      <c r="K66" s="190">
        <f>+'PARTE DIC2021'!L38</f>
        <v>14</v>
      </c>
      <c r="L66" s="190">
        <f>+'PARTE DIC2021'!M38</f>
        <v>527</v>
      </c>
      <c r="M66" s="190">
        <f>+'PARTE DIC2021'!N38</f>
        <v>841</v>
      </c>
      <c r="N66" s="190">
        <f t="shared" si="13"/>
        <v>191</v>
      </c>
      <c r="O66" s="191">
        <f t="shared" si="14"/>
        <v>0.29384615384615387</v>
      </c>
      <c r="P66" s="42"/>
    </row>
    <row r="67" spans="3:16" ht="27.75" customHeight="1">
      <c r="C67" s="175" t="str">
        <f>+'ERON 2021'!A31</f>
        <v>CPMSFLO-ERE-RM Florencia</v>
      </c>
      <c r="D67" s="188">
        <f>+'PARTE DIC2021'!E39</f>
        <v>550</v>
      </c>
      <c r="E67" s="188">
        <f>+'PARTE DIC2021'!F39</f>
        <v>773</v>
      </c>
      <c r="F67" s="188">
        <f>+'PARTE DIC2021'!G39</f>
        <v>57</v>
      </c>
      <c r="G67" s="188">
        <f>+'PARTE DIC2021'!H39</f>
        <v>388</v>
      </c>
      <c r="H67" s="188">
        <f>+'PARTE DIC2021'!I39</f>
        <v>26</v>
      </c>
      <c r="I67" s="188">
        <f>+'PARTE DIC2021'!J39</f>
        <v>414</v>
      </c>
      <c r="J67" s="188">
        <f>+'PARTE DIC2021'!K39</f>
        <v>385</v>
      </c>
      <c r="K67" s="188">
        <f>+'PARTE DIC2021'!L39</f>
        <v>31</v>
      </c>
      <c r="L67" s="188">
        <f>+'PARTE DIC2021'!M39</f>
        <v>416</v>
      </c>
      <c r="M67" s="188">
        <f>+'PARTE DIC2021'!N39</f>
        <v>830</v>
      </c>
      <c r="N67" s="188">
        <f t="shared" si="13"/>
        <v>280</v>
      </c>
      <c r="O67" s="189">
        <f t="shared" si="14"/>
        <v>0.50909090909090904</v>
      </c>
      <c r="P67" s="42"/>
    </row>
    <row r="68" spans="3:16" ht="27.75" customHeight="1">
      <c r="C68" s="176" t="str">
        <f>+'ERON 2021'!A32</f>
        <v>EPMSCCHA Chaparral</v>
      </c>
      <c r="D68" s="190">
        <f>+'PARTE DIC2021'!E40</f>
        <v>169</v>
      </c>
      <c r="E68" s="190">
        <f>+'PARTE DIC2021'!F40</f>
        <v>230</v>
      </c>
      <c r="F68" s="190">
        <f>+'PARTE DIC2021'!G40</f>
        <v>0</v>
      </c>
      <c r="G68" s="190">
        <f>+'PARTE DIC2021'!H40</f>
        <v>69</v>
      </c>
      <c r="H68" s="190">
        <f>+'PARTE DIC2021'!I40</f>
        <v>0</v>
      </c>
      <c r="I68" s="190">
        <f>+'PARTE DIC2021'!J40</f>
        <v>69</v>
      </c>
      <c r="J68" s="190">
        <f>+'PARTE DIC2021'!K40</f>
        <v>161</v>
      </c>
      <c r="K68" s="190">
        <f>+'PARTE DIC2021'!L40</f>
        <v>0</v>
      </c>
      <c r="L68" s="190">
        <f>+'PARTE DIC2021'!M40</f>
        <v>161</v>
      </c>
      <c r="M68" s="190">
        <f>+'PARTE DIC2021'!N40</f>
        <v>230</v>
      </c>
      <c r="N68" s="190">
        <f t="shared" si="13"/>
        <v>61</v>
      </c>
      <c r="O68" s="191">
        <f t="shared" si="14"/>
        <v>0.36094674556213024</v>
      </c>
      <c r="P68" s="42"/>
    </row>
    <row r="69" spans="3:16" ht="27.75" customHeight="1">
      <c r="C69" s="175" t="str">
        <f>+'ERON 2021'!A33</f>
        <v>CPMSESP Espinal</v>
      </c>
      <c r="D69" s="188">
        <f>+'PARTE DIC2021'!E41</f>
        <v>1118</v>
      </c>
      <c r="E69" s="188">
        <f>+'PARTE DIC2021'!F41</f>
        <v>1047</v>
      </c>
      <c r="F69" s="188">
        <f>+'PARTE DIC2021'!G41</f>
        <v>0</v>
      </c>
      <c r="G69" s="188">
        <f>+'PARTE DIC2021'!H41</f>
        <v>45</v>
      </c>
      <c r="H69" s="188">
        <f>+'PARTE DIC2021'!I41</f>
        <v>0</v>
      </c>
      <c r="I69" s="188">
        <f>+'PARTE DIC2021'!J41</f>
        <v>45</v>
      </c>
      <c r="J69" s="188">
        <f>+'PARTE DIC2021'!K41</f>
        <v>1002</v>
      </c>
      <c r="K69" s="188">
        <f>+'PARTE DIC2021'!L41</f>
        <v>0</v>
      </c>
      <c r="L69" s="188">
        <f>+'PARTE DIC2021'!M41</f>
        <v>1002</v>
      </c>
      <c r="M69" s="188">
        <f>+'PARTE DIC2021'!N41</f>
        <v>1047</v>
      </c>
      <c r="N69" s="806">
        <f t="shared" si="13"/>
        <v>-71</v>
      </c>
      <c r="O69" s="800">
        <f t="shared" si="14"/>
        <v>-6.3506261180679813E-2</v>
      </c>
      <c r="P69" s="42"/>
    </row>
    <row r="70" spans="3:16" ht="27.75" customHeight="1">
      <c r="C70" s="176" t="str">
        <f>+'ERON 2021'!A34</f>
        <v>CPMSPUR Purificación</v>
      </c>
      <c r="D70" s="190">
        <f>+'PARTE DIC2021'!E42</f>
        <v>113</v>
      </c>
      <c r="E70" s="190">
        <f>+'PARTE DIC2021'!F42</f>
        <v>1</v>
      </c>
      <c r="F70" s="190">
        <f>+'PARTE DIC2021'!G42</f>
        <v>0</v>
      </c>
      <c r="G70" s="190">
        <f>+'PARTE DIC2021'!H42</f>
        <v>0</v>
      </c>
      <c r="H70" s="190">
        <f>+'PARTE DIC2021'!I42</f>
        <v>0</v>
      </c>
      <c r="I70" s="190">
        <f>+'PARTE DIC2021'!J42</f>
        <v>0</v>
      </c>
      <c r="J70" s="190">
        <f>+'PARTE DIC2021'!K42</f>
        <v>1</v>
      </c>
      <c r="K70" s="190">
        <f>+'PARTE DIC2021'!L42</f>
        <v>0</v>
      </c>
      <c r="L70" s="190">
        <f>+'PARTE DIC2021'!M42</f>
        <v>1</v>
      </c>
      <c r="M70" s="190">
        <f>+'PARTE DIC2021'!N42</f>
        <v>1</v>
      </c>
      <c r="N70" s="806">
        <f t="shared" si="13"/>
        <v>-112</v>
      </c>
      <c r="O70" s="800">
        <f t="shared" si="14"/>
        <v>-0.99115044247787609</v>
      </c>
      <c r="P70" s="42"/>
    </row>
    <row r="71" spans="3:16" ht="27.75" customHeight="1">
      <c r="C71" s="175" t="str">
        <f>+'ERON 2021'!A35</f>
        <v>CPMSACS - RM Acacias</v>
      </c>
      <c r="D71" s="188">
        <f>+'PARTE DIC2021'!E43</f>
        <v>2376</v>
      </c>
      <c r="E71" s="188">
        <f>+'PARTE DIC2021'!F43</f>
        <v>2567</v>
      </c>
      <c r="F71" s="188">
        <f>+'PARTE DIC2021'!G43</f>
        <v>118</v>
      </c>
      <c r="G71" s="188">
        <f>+'PARTE DIC2021'!H43</f>
        <v>168</v>
      </c>
      <c r="H71" s="188">
        <f>+'PARTE DIC2021'!I43</f>
        <v>37</v>
      </c>
      <c r="I71" s="188">
        <f>+'PARTE DIC2021'!J43</f>
        <v>205</v>
      </c>
      <c r="J71" s="188">
        <f>+'PARTE DIC2021'!K43</f>
        <v>2399</v>
      </c>
      <c r="K71" s="188">
        <f>+'PARTE DIC2021'!L43</f>
        <v>81</v>
      </c>
      <c r="L71" s="188">
        <f>+'PARTE DIC2021'!M43</f>
        <v>2480</v>
      </c>
      <c r="M71" s="188">
        <f>+'PARTE DIC2021'!N43</f>
        <v>2685</v>
      </c>
      <c r="N71" s="188">
        <f t="shared" si="13"/>
        <v>309</v>
      </c>
      <c r="O71" s="189">
        <f t="shared" si="14"/>
        <v>0.13005050505050497</v>
      </c>
      <c r="P71" s="42"/>
    </row>
    <row r="72" spans="3:16" ht="27.75" customHeight="1">
      <c r="C72" s="176" t="str">
        <f>+'ERON 2021'!A36</f>
        <v>CPMSTUN Tunja</v>
      </c>
      <c r="D72" s="190">
        <f>+'PARTE DIC2021'!E44</f>
        <v>120</v>
      </c>
      <c r="E72" s="190">
        <f>+'PARTE DIC2021'!F44</f>
        <v>169</v>
      </c>
      <c r="F72" s="190">
        <f>+'PARTE DIC2021'!G44</f>
        <v>0</v>
      </c>
      <c r="G72" s="190">
        <f>+'PARTE DIC2021'!H44</f>
        <v>38</v>
      </c>
      <c r="H72" s="190">
        <f>+'PARTE DIC2021'!I44</f>
        <v>0</v>
      </c>
      <c r="I72" s="190">
        <f>+'PARTE DIC2021'!J44</f>
        <v>38</v>
      </c>
      <c r="J72" s="190">
        <f>+'PARTE DIC2021'!K44</f>
        <v>131</v>
      </c>
      <c r="K72" s="190">
        <f>+'PARTE DIC2021'!L44</f>
        <v>0</v>
      </c>
      <c r="L72" s="190">
        <f>+'PARTE DIC2021'!M44</f>
        <v>131</v>
      </c>
      <c r="M72" s="190">
        <f>+'PARTE DIC2021'!N44</f>
        <v>169</v>
      </c>
      <c r="N72" s="190">
        <f t="shared" si="13"/>
        <v>49</v>
      </c>
      <c r="O72" s="191">
        <f t="shared" si="14"/>
        <v>0.40833333333333344</v>
      </c>
      <c r="P72" s="42"/>
    </row>
    <row r="73" spans="3:16" ht="27.75" customHeight="1">
      <c r="C73" s="175" t="str">
        <f>+'ERON 2021'!A37</f>
        <v>CPAMSEB El Barne</v>
      </c>
      <c r="D73" s="188">
        <f>+'PARTE DIC2021'!E45</f>
        <v>2664</v>
      </c>
      <c r="E73" s="188">
        <f>+'PARTE DIC2021'!F45</f>
        <v>3941</v>
      </c>
      <c r="F73" s="188">
        <f>+'PARTE DIC2021'!G45</f>
        <v>0</v>
      </c>
      <c r="G73" s="188">
        <f>+'PARTE DIC2021'!H45</f>
        <v>474</v>
      </c>
      <c r="H73" s="188">
        <f>+'PARTE DIC2021'!I45</f>
        <v>0</v>
      </c>
      <c r="I73" s="188">
        <f>+'PARTE DIC2021'!J45</f>
        <v>474</v>
      </c>
      <c r="J73" s="188">
        <f>+'PARTE DIC2021'!K45</f>
        <v>3467</v>
      </c>
      <c r="K73" s="188">
        <f>+'PARTE DIC2021'!L45</f>
        <v>0</v>
      </c>
      <c r="L73" s="188">
        <f>+'PARTE DIC2021'!M45</f>
        <v>3467</v>
      </c>
      <c r="M73" s="803">
        <f>+'PARTE DIC2021'!N45</f>
        <v>3941</v>
      </c>
      <c r="N73" s="805">
        <f t="shared" si="13"/>
        <v>1277</v>
      </c>
      <c r="O73" s="798">
        <f t="shared" si="14"/>
        <v>0.47935435435435436</v>
      </c>
      <c r="P73" s="42"/>
    </row>
    <row r="74" spans="3:16" ht="27.75" customHeight="1">
      <c r="C74" s="176" t="str">
        <f>+'ERON 2021'!A38</f>
        <v>CPMSPDA Paz de Ariporo</v>
      </c>
      <c r="D74" s="190">
        <f>+'PARTE DIC2021'!E46</f>
        <v>120</v>
      </c>
      <c r="E74" s="190">
        <f>+'PARTE DIC2021'!F46</f>
        <v>94</v>
      </c>
      <c r="F74" s="190">
        <f>+'PARTE DIC2021'!G46</f>
        <v>0</v>
      </c>
      <c r="G74" s="190">
        <f>+'PARTE DIC2021'!H46</f>
        <v>20</v>
      </c>
      <c r="H74" s="190">
        <f>+'PARTE DIC2021'!I46</f>
        <v>0</v>
      </c>
      <c r="I74" s="190">
        <f>+'PARTE DIC2021'!J46</f>
        <v>20</v>
      </c>
      <c r="J74" s="190">
        <f>+'PARTE DIC2021'!K46</f>
        <v>74</v>
      </c>
      <c r="K74" s="190">
        <f>+'PARTE DIC2021'!L46</f>
        <v>0</v>
      </c>
      <c r="L74" s="190">
        <f>+'PARTE DIC2021'!M46</f>
        <v>74</v>
      </c>
      <c r="M74" s="804">
        <f>+'PARTE DIC2021'!N46</f>
        <v>94</v>
      </c>
      <c r="N74" s="806">
        <f t="shared" si="13"/>
        <v>-26</v>
      </c>
      <c r="O74" s="800">
        <f t="shared" si="14"/>
        <v>-0.21666666666666667</v>
      </c>
      <c r="P74" s="42"/>
    </row>
    <row r="75" spans="3:16" ht="27.75" customHeight="1">
      <c r="C75" s="175" t="str">
        <f>+'ERON 2021'!A39</f>
        <v>EPCYOP Yopal</v>
      </c>
      <c r="D75" s="188">
        <f>+'PARTE DIC2021'!E47</f>
        <v>918</v>
      </c>
      <c r="E75" s="188">
        <f>+'PARTE DIC2021'!F47</f>
        <v>874</v>
      </c>
      <c r="F75" s="188">
        <f>+'PARTE DIC2021'!G47</f>
        <v>0</v>
      </c>
      <c r="G75" s="188">
        <f>+'PARTE DIC2021'!H47</f>
        <v>115</v>
      </c>
      <c r="H75" s="188">
        <f>+'PARTE DIC2021'!I47</f>
        <v>0</v>
      </c>
      <c r="I75" s="188">
        <f>+'PARTE DIC2021'!J47</f>
        <v>115</v>
      </c>
      <c r="J75" s="188">
        <f>+'PARTE DIC2021'!K47</f>
        <v>759</v>
      </c>
      <c r="K75" s="188">
        <f>+'PARTE DIC2021'!L47</f>
        <v>0</v>
      </c>
      <c r="L75" s="188">
        <f>+'PARTE DIC2021'!M47</f>
        <v>759</v>
      </c>
      <c r="M75" s="803">
        <f>+'PARTE DIC2021'!N47</f>
        <v>874</v>
      </c>
      <c r="N75" s="807">
        <f t="shared" si="13"/>
        <v>-44</v>
      </c>
      <c r="O75" s="808">
        <f t="shared" si="14"/>
        <v>-4.7930283224400849E-2</v>
      </c>
      <c r="P75" s="42"/>
    </row>
    <row r="76" spans="3:16" ht="27.75" customHeight="1">
      <c r="C76" s="176" t="str">
        <f>+'ERON 2021'!A40</f>
        <v>PMSLEGU La Esperanza de Guaduas</v>
      </c>
      <c r="D76" s="190">
        <f>+'PARTE DIC2021'!E48</f>
        <v>2822</v>
      </c>
      <c r="E76" s="190">
        <f>+'PARTE DIC2021'!F48</f>
        <v>2735</v>
      </c>
      <c r="F76" s="190">
        <f>+'PARTE DIC2021'!G48</f>
        <v>0</v>
      </c>
      <c r="G76" s="190">
        <f>+'PARTE DIC2021'!H48</f>
        <v>173</v>
      </c>
      <c r="H76" s="190">
        <f>+'PARTE DIC2021'!I48</f>
        <v>0</v>
      </c>
      <c r="I76" s="190">
        <f>+'PARTE DIC2021'!J48</f>
        <v>173</v>
      </c>
      <c r="J76" s="190">
        <f>+'PARTE DIC2021'!K48</f>
        <v>2562</v>
      </c>
      <c r="K76" s="190">
        <f>+'PARTE DIC2021'!L48</f>
        <v>0</v>
      </c>
      <c r="L76" s="190">
        <f>+'PARTE DIC2021'!M48</f>
        <v>2562</v>
      </c>
      <c r="M76" s="804">
        <f>+'PARTE DIC2021'!N48</f>
        <v>2735</v>
      </c>
      <c r="N76" s="806">
        <f t="shared" si="13"/>
        <v>-87</v>
      </c>
      <c r="O76" s="800">
        <f t="shared" si="14"/>
        <v>-3.0829199149539299E-2</v>
      </c>
      <c r="P76" s="42"/>
    </row>
    <row r="77" spans="3:16" ht="27.75" customHeight="1">
      <c r="C77" s="175" t="str">
        <f>+'ERON 2021'!A41</f>
        <v xml:space="preserve">PMSHELIC Las Heliconias </v>
      </c>
      <c r="D77" s="188">
        <f>+'PARTE DIC2021'!E49</f>
        <v>1388</v>
      </c>
      <c r="E77" s="188">
        <f>+'PARTE DIC2021'!F49</f>
        <v>1311</v>
      </c>
      <c r="F77" s="188">
        <f>+'PARTE DIC2021'!G49</f>
        <v>0</v>
      </c>
      <c r="G77" s="188">
        <f>+'PARTE DIC2021'!H49</f>
        <v>0</v>
      </c>
      <c r="H77" s="188">
        <f>+'PARTE DIC2021'!I49</f>
        <v>0</v>
      </c>
      <c r="I77" s="188">
        <f>+'PARTE DIC2021'!J49</f>
        <v>0</v>
      </c>
      <c r="J77" s="188">
        <f>+'PARTE DIC2021'!K49</f>
        <v>1311</v>
      </c>
      <c r="K77" s="188">
        <f>+'PARTE DIC2021'!L49</f>
        <v>0</v>
      </c>
      <c r="L77" s="188">
        <f>+'PARTE DIC2021'!M49</f>
        <v>1311</v>
      </c>
      <c r="M77" s="803">
        <f>+'PARTE DIC2021'!N49</f>
        <v>1311</v>
      </c>
      <c r="N77" s="806">
        <f t="shared" si="13"/>
        <v>-77</v>
      </c>
      <c r="O77" s="800">
        <f t="shared" si="14"/>
        <v>-5.54755043227666E-2</v>
      </c>
      <c r="P77" s="42"/>
    </row>
    <row r="78" spans="3:16" ht="27.75" customHeight="1">
      <c r="C78" s="176" t="str">
        <f>+'ERON 2021'!A42</f>
        <v>EPCGUM El Guamo</v>
      </c>
      <c r="D78" s="190">
        <f>+'PARTE DIC2021'!E50</f>
        <v>100</v>
      </c>
      <c r="E78" s="190">
        <f>+'PARTE DIC2021'!F50</f>
        <v>101</v>
      </c>
      <c r="F78" s="190">
        <f>+'PARTE DIC2021'!G50</f>
        <v>0</v>
      </c>
      <c r="G78" s="190">
        <f>+'PARTE DIC2021'!H50</f>
        <v>28</v>
      </c>
      <c r="H78" s="190">
        <f>+'PARTE DIC2021'!I50</f>
        <v>0</v>
      </c>
      <c r="I78" s="190">
        <f>+'PARTE DIC2021'!J50</f>
        <v>28</v>
      </c>
      <c r="J78" s="190">
        <f>+'PARTE DIC2021'!K50</f>
        <v>73</v>
      </c>
      <c r="K78" s="190">
        <f>+'PARTE DIC2021'!L50</f>
        <v>0</v>
      </c>
      <c r="L78" s="190">
        <f>+'PARTE DIC2021'!M50</f>
        <v>73</v>
      </c>
      <c r="M78" s="804">
        <f>+'PARTE DIC2021'!N50</f>
        <v>101</v>
      </c>
      <c r="N78" s="1305">
        <f>+M78-D78</f>
        <v>1</v>
      </c>
      <c r="O78" s="1306">
        <f>+M78*1/D78-1</f>
        <v>1.0000000000000009E-2</v>
      </c>
      <c r="P78" s="42"/>
    </row>
    <row r="79" spans="3:16" ht="27.75" customHeight="1">
      <c r="C79" s="1105" t="str">
        <f>+'ERON 2021'!A43</f>
        <v>CPMMSFFA Facatativá</v>
      </c>
      <c r="D79" s="1106">
        <f>+'PARTE DIC2021'!E51</f>
        <v>180</v>
      </c>
      <c r="E79" s="1106">
        <f>+'PARTE DIC2021'!F51</f>
        <v>84</v>
      </c>
      <c r="F79" s="1106">
        <f>+'PARTE DIC2021'!G51</f>
        <v>0</v>
      </c>
      <c r="G79" s="1106">
        <f>+'PARTE DIC2021'!H51</f>
        <v>26</v>
      </c>
      <c r="H79" s="1106">
        <f>+'PARTE DIC2021'!I51</f>
        <v>0</v>
      </c>
      <c r="I79" s="1106">
        <f>+'PARTE DIC2021'!J51</f>
        <v>26</v>
      </c>
      <c r="J79" s="1106">
        <f>+'PARTE DIC2021'!K51</f>
        <v>58</v>
      </c>
      <c r="K79" s="1106">
        <f>+'PARTE DIC2021'!L51</f>
        <v>0</v>
      </c>
      <c r="L79" s="1106">
        <f>+'PARTE DIC2021'!M51</f>
        <v>58</v>
      </c>
      <c r="M79" s="1107">
        <f>+'PARTE DIC2021'!N51</f>
        <v>84</v>
      </c>
      <c r="N79" s="1307">
        <f t="shared" si="13"/>
        <v>-96</v>
      </c>
      <c r="O79" s="1300">
        <f t="shared" si="14"/>
        <v>-0.53333333333333333</v>
      </c>
      <c r="P79" s="42"/>
    </row>
    <row r="80" spans="3:16" s="597" customFormat="1" ht="33.75" customHeight="1">
      <c r="C80" s="599" t="s">
        <v>80</v>
      </c>
      <c r="D80" s="600">
        <f>SUM(D38:D79)</f>
        <v>30672</v>
      </c>
      <c r="E80" s="600">
        <f t="shared" ref="E80:N80" si="15">SUM(E38:E79)</f>
        <v>33394</v>
      </c>
      <c r="F80" s="600">
        <f t="shared" si="15"/>
        <v>2267</v>
      </c>
      <c r="G80" s="600">
        <f t="shared" si="15"/>
        <v>7001</v>
      </c>
      <c r="H80" s="600">
        <f t="shared" si="15"/>
        <v>899</v>
      </c>
      <c r="I80" s="600">
        <f t="shared" si="15"/>
        <v>7900</v>
      </c>
      <c r="J80" s="600">
        <f t="shared" si="15"/>
        <v>26393</v>
      </c>
      <c r="K80" s="600">
        <f t="shared" si="15"/>
        <v>1368</v>
      </c>
      <c r="L80" s="600">
        <f t="shared" si="15"/>
        <v>27761</v>
      </c>
      <c r="M80" s="600">
        <f t="shared" si="15"/>
        <v>35661</v>
      </c>
      <c r="N80" s="600">
        <f t="shared" si="15"/>
        <v>4989</v>
      </c>
      <c r="O80" s="601">
        <f t="shared" si="14"/>
        <v>0.1626564945226916</v>
      </c>
      <c r="P80" s="602"/>
    </row>
    <row r="81" spans="3:16" s="597" customFormat="1" ht="33.75" customHeight="1" thickBot="1">
      <c r="C81" s="603" t="s">
        <v>117</v>
      </c>
      <c r="D81" s="604">
        <f>+D80/D$15</f>
        <v>0.38135498389884248</v>
      </c>
      <c r="E81" s="604">
        <f>+E80/E$15</f>
        <v>0.37005352334304809</v>
      </c>
      <c r="F81" s="604">
        <f t="shared" ref="F81:N81" si="16">+F80/F$15</f>
        <v>0.33977817745803357</v>
      </c>
      <c r="G81" s="604">
        <f t="shared" si="16"/>
        <v>0.30423257430905615</v>
      </c>
      <c r="H81" s="604">
        <f t="shared" si="16"/>
        <v>0.34804490902051877</v>
      </c>
      <c r="I81" s="604">
        <f t="shared" si="16"/>
        <v>0.30865403399101388</v>
      </c>
      <c r="J81" s="604">
        <f t="shared" si="16"/>
        <v>0.39258355769087744</v>
      </c>
      <c r="K81" s="604">
        <f t="shared" si="16"/>
        <v>0.33455612619222302</v>
      </c>
      <c r="L81" s="604">
        <f t="shared" si="16"/>
        <v>0.38925656916907375</v>
      </c>
      <c r="M81" s="604">
        <f t="shared" si="16"/>
        <v>0.36796920949717787</v>
      </c>
      <c r="N81" s="604">
        <f t="shared" si="16"/>
        <v>0.30265712205775297</v>
      </c>
      <c r="O81" s="605">
        <f>+O80/$R$25</f>
        <v>0.11759110966502477</v>
      </c>
      <c r="P81" s="602"/>
    </row>
    <row r="82" spans="3:16" ht="21.95" customHeight="1">
      <c r="C82" s="50" t="s">
        <v>78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4"/>
      <c r="P82" s="45"/>
    </row>
    <row r="85" spans="3:16" ht="15.75">
      <c r="C85" s="2036" t="s">
        <v>730</v>
      </c>
      <c r="D85" s="2036"/>
      <c r="E85" s="2036"/>
      <c r="F85" s="2036"/>
      <c r="G85" s="2036"/>
      <c r="H85" s="2036"/>
      <c r="I85" s="2036"/>
      <c r="J85" s="2036"/>
      <c r="K85" s="2036"/>
      <c r="L85" s="2036"/>
      <c r="M85" s="2036"/>
      <c r="N85" s="2036"/>
      <c r="O85" s="2036"/>
      <c r="P85" s="2036"/>
    </row>
    <row r="86" spans="3:16" ht="13.5" thickBot="1">
      <c r="C86" s="49"/>
      <c r="D86" s="38"/>
      <c r="E86" s="39"/>
      <c r="F86" s="38"/>
      <c r="G86" s="38"/>
      <c r="H86" s="38"/>
      <c r="I86" s="39" t="s">
        <v>51</v>
      </c>
      <c r="M86" s="40"/>
    </row>
    <row r="87" spans="3:16" s="596" customFormat="1" ht="53.25" customHeight="1">
      <c r="C87" s="2029" t="s">
        <v>57</v>
      </c>
      <c r="D87" s="2019" t="s">
        <v>87</v>
      </c>
      <c r="E87" s="2032" t="s">
        <v>402</v>
      </c>
      <c r="F87" s="2032"/>
      <c r="G87" s="2032" t="s">
        <v>235</v>
      </c>
      <c r="H87" s="2032"/>
      <c r="I87" s="2032"/>
      <c r="J87" s="2032"/>
      <c r="K87" s="2032"/>
      <c r="L87" s="2032"/>
      <c r="M87" s="2019" t="s">
        <v>403</v>
      </c>
      <c r="N87" s="2022" t="s">
        <v>401</v>
      </c>
      <c r="O87" s="2025" t="s">
        <v>404</v>
      </c>
      <c r="P87" s="41"/>
    </row>
    <row r="88" spans="3:16" s="596" customFormat="1" ht="53.25" customHeight="1">
      <c r="C88" s="2030"/>
      <c r="D88" s="2020"/>
      <c r="E88" s="2033"/>
      <c r="F88" s="2033"/>
      <c r="G88" s="2034" t="s">
        <v>74</v>
      </c>
      <c r="H88" s="2034"/>
      <c r="I88" s="2023" t="s">
        <v>75</v>
      </c>
      <c r="J88" s="2034" t="s">
        <v>76</v>
      </c>
      <c r="K88" s="2034"/>
      <c r="L88" s="2023" t="s">
        <v>75</v>
      </c>
      <c r="M88" s="2020"/>
      <c r="N88" s="2023"/>
      <c r="O88" s="2026"/>
      <c r="P88" s="41"/>
    </row>
    <row r="89" spans="3:16" s="596" customFormat="1" ht="53.25" customHeight="1">
      <c r="C89" s="2031"/>
      <c r="D89" s="2021"/>
      <c r="E89" s="607" t="s">
        <v>44</v>
      </c>
      <c r="F89" s="607" t="s">
        <v>45</v>
      </c>
      <c r="G89" s="607" t="s">
        <v>44</v>
      </c>
      <c r="H89" s="607" t="s">
        <v>45</v>
      </c>
      <c r="I89" s="2024"/>
      <c r="J89" s="607" t="s">
        <v>44</v>
      </c>
      <c r="K89" s="607" t="s">
        <v>45</v>
      </c>
      <c r="L89" s="2024"/>
      <c r="M89" s="2021"/>
      <c r="N89" s="2024"/>
      <c r="O89" s="2027"/>
      <c r="P89" s="41"/>
    </row>
    <row r="90" spans="3:16" ht="27.75" customHeight="1">
      <c r="C90" s="174" t="s">
        <v>200</v>
      </c>
      <c r="D90" s="186">
        <f>+'PARTE DIC2021'!E52</f>
        <v>186</v>
      </c>
      <c r="E90" s="186">
        <f>+'PARTE DIC2021'!F52</f>
        <v>155</v>
      </c>
      <c r="F90" s="186">
        <f>+'PARTE DIC2021'!G52</f>
        <v>0</v>
      </c>
      <c r="G90" s="186">
        <f>+'PARTE DIC2021'!H52</f>
        <v>70</v>
      </c>
      <c r="H90" s="186">
        <f>+'PARTE DIC2021'!I52</f>
        <v>0</v>
      </c>
      <c r="I90" s="186">
        <f>+'PARTE DIC2021'!J52</f>
        <v>70</v>
      </c>
      <c r="J90" s="186">
        <f>+'PARTE DIC2021'!K52</f>
        <v>85</v>
      </c>
      <c r="K90" s="186">
        <f>+'PARTE DIC2021'!L52</f>
        <v>0</v>
      </c>
      <c r="L90" s="186">
        <f>+'PARTE DIC2021'!M52</f>
        <v>85</v>
      </c>
      <c r="M90" s="186">
        <f>+'PARTE DIC2021'!N52</f>
        <v>155</v>
      </c>
      <c r="N90" s="1297">
        <f>+M90-D90</f>
        <v>-31</v>
      </c>
      <c r="O90" s="1298">
        <f>+M90*1/D90-1</f>
        <v>-0.16666666666666663</v>
      </c>
      <c r="P90" s="45"/>
    </row>
    <row r="91" spans="3:16" ht="27.75" customHeight="1">
      <c r="C91" s="175" t="s">
        <v>201</v>
      </c>
      <c r="D91" s="188">
        <f>+'PARTE DIC2021'!E53</f>
        <v>108</v>
      </c>
      <c r="E91" s="188">
        <f>+'PARTE DIC2021'!F53</f>
        <v>113</v>
      </c>
      <c r="F91" s="188">
        <f>+'PARTE DIC2021'!G53</f>
        <v>0</v>
      </c>
      <c r="G91" s="188">
        <f>+'PARTE DIC2021'!H53</f>
        <v>21</v>
      </c>
      <c r="H91" s="188">
        <f>+'PARTE DIC2021'!I53</f>
        <v>0</v>
      </c>
      <c r="I91" s="188">
        <f>+'PARTE DIC2021'!J53</f>
        <v>21</v>
      </c>
      <c r="J91" s="188">
        <f>+'PARTE DIC2021'!K53</f>
        <v>92</v>
      </c>
      <c r="K91" s="188">
        <f>+'PARTE DIC2021'!L53</f>
        <v>0</v>
      </c>
      <c r="L91" s="188">
        <f>+'PARTE DIC2021'!M53</f>
        <v>92</v>
      </c>
      <c r="M91" s="803">
        <f>+'PARTE DIC2021'!N53</f>
        <v>113</v>
      </c>
      <c r="N91" s="1299">
        <f t="shared" ref="N91:N100" si="17">+M91-D91</f>
        <v>5</v>
      </c>
      <c r="O91" s="189">
        <f t="shared" ref="O91:O100" si="18">+M91*1/D91-1</f>
        <v>4.629629629629628E-2</v>
      </c>
      <c r="P91" s="45"/>
    </row>
    <row r="92" spans="3:16" ht="27.75" customHeight="1">
      <c r="C92" s="176" t="s">
        <v>202</v>
      </c>
      <c r="D92" s="190">
        <f>+'PARTE DIC2021'!E54</f>
        <v>64</v>
      </c>
      <c r="E92" s="190">
        <f>+'PARTE DIC2021'!F54</f>
        <v>0</v>
      </c>
      <c r="F92" s="190">
        <f>+'PARTE DIC2021'!G54</f>
        <v>0</v>
      </c>
      <c r="G92" s="190">
        <f>+'PARTE DIC2021'!H54</f>
        <v>0</v>
      </c>
      <c r="H92" s="190">
        <f>+'PARTE DIC2021'!I54</f>
        <v>0</v>
      </c>
      <c r="I92" s="190">
        <f>+'PARTE DIC2021'!J54</f>
        <v>0</v>
      </c>
      <c r="J92" s="190">
        <f>+'PARTE DIC2021'!K54</f>
        <v>0</v>
      </c>
      <c r="K92" s="190">
        <f>+'PARTE DIC2021'!L54</f>
        <v>0</v>
      </c>
      <c r="L92" s="190">
        <f>+'PARTE DIC2021'!M54</f>
        <v>0</v>
      </c>
      <c r="M92" s="190">
        <f>+'PARTE DIC2021'!N54</f>
        <v>0</v>
      </c>
      <c r="N92" s="198">
        <f t="shared" si="17"/>
        <v>-64</v>
      </c>
      <c r="O92" s="199">
        <f t="shared" si="18"/>
        <v>-1</v>
      </c>
      <c r="P92" s="45"/>
    </row>
    <row r="93" spans="3:16" ht="27.75" customHeight="1">
      <c r="C93" s="175" t="s">
        <v>203</v>
      </c>
      <c r="D93" s="188">
        <f>+'PARTE DIC2021'!E55</f>
        <v>230</v>
      </c>
      <c r="E93" s="188">
        <f>+'PARTE DIC2021'!F55</f>
        <v>320</v>
      </c>
      <c r="F93" s="188">
        <f>+'PARTE DIC2021'!G55</f>
        <v>0</v>
      </c>
      <c r="G93" s="188">
        <f>+'PARTE DIC2021'!H55</f>
        <v>140</v>
      </c>
      <c r="H93" s="188">
        <f>+'PARTE DIC2021'!I55</f>
        <v>0</v>
      </c>
      <c r="I93" s="188">
        <f>+'PARTE DIC2021'!J55</f>
        <v>140</v>
      </c>
      <c r="J93" s="188">
        <f>+'PARTE DIC2021'!K55</f>
        <v>180</v>
      </c>
      <c r="K93" s="188">
        <f>+'PARTE DIC2021'!L55</f>
        <v>0</v>
      </c>
      <c r="L93" s="188">
        <f>+'PARTE DIC2021'!M55</f>
        <v>180</v>
      </c>
      <c r="M93" s="188">
        <f>+'PARTE DIC2021'!N55</f>
        <v>320</v>
      </c>
      <c r="N93" s="188">
        <f t="shared" si="17"/>
        <v>90</v>
      </c>
      <c r="O93" s="189">
        <f t="shared" si="18"/>
        <v>0.39130434782608692</v>
      </c>
      <c r="P93" s="45"/>
    </row>
    <row r="94" spans="3:16" ht="27.75" customHeight="1">
      <c r="C94" s="176" t="s">
        <v>204</v>
      </c>
      <c r="D94" s="190">
        <f>+'PARTE DIC2021'!E56</f>
        <v>100</v>
      </c>
      <c r="E94" s="190">
        <f>+'PARTE DIC2021'!F56</f>
        <v>96</v>
      </c>
      <c r="F94" s="190">
        <f>+'PARTE DIC2021'!G56</f>
        <v>0</v>
      </c>
      <c r="G94" s="190">
        <f>+'PARTE DIC2021'!H56</f>
        <v>25</v>
      </c>
      <c r="H94" s="190">
        <f>+'PARTE DIC2021'!I56</f>
        <v>0</v>
      </c>
      <c r="I94" s="190">
        <f>+'PARTE DIC2021'!J56</f>
        <v>25</v>
      </c>
      <c r="J94" s="190">
        <f>+'PARTE DIC2021'!K56</f>
        <v>71</v>
      </c>
      <c r="K94" s="190">
        <f>+'PARTE DIC2021'!L56</f>
        <v>0</v>
      </c>
      <c r="L94" s="190">
        <f>+'PARTE DIC2021'!M56</f>
        <v>71</v>
      </c>
      <c r="M94" s="190">
        <f>+'PARTE DIC2021'!N56</f>
        <v>96</v>
      </c>
      <c r="N94" s="198">
        <f t="shared" si="17"/>
        <v>-4</v>
      </c>
      <c r="O94" s="199">
        <f t="shared" si="18"/>
        <v>-4.0000000000000036E-2</v>
      </c>
      <c r="P94" s="45"/>
    </row>
    <row r="95" spans="3:16" ht="27.75" customHeight="1">
      <c r="C95" s="175" t="s">
        <v>205</v>
      </c>
      <c r="D95" s="188">
        <f>+'PARTE DIC2021'!E57</f>
        <v>100</v>
      </c>
      <c r="E95" s="188">
        <f>+'PARTE DIC2021'!F57</f>
        <v>0</v>
      </c>
      <c r="F95" s="188">
        <f>+'PARTE DIC2021'!G57</f>
        <v>145</v>
      </c>
      <c r="G95" s="188">
        <f>+'PARTE DIC2021'!H57</f>
        <v>0</v>
      </c>
      <c r="H95" s="188">
        <f>+'PARTE DIC2021'!I57</f>
        <v>56</v>
      </c>
      <c r="I95" s="188">
        <f>+'PARTE DIC2021'!J57</f>
        <v>56</v>
      </c>
      <c r="J95" s="188">
        <f>+'PARTE DIC2021'!K57</f>
        <v>0</v>
      </c>
      <c r="K95" s="188">
        <f>+'PARTE DIC2021'!L57</f>
        <v>89</v>
      </c>
      <c r="L95" s="188">
        <f>+'PARTE DIC2021'!M57</f>
        <v>89</v>
      </c>
      <c r="M95" s="188">
        <f>+'PARTE DIC2021'!N57</f>
        <v>145</v>
      </c>
      <c r="N95" s="188">
        <f t="shared" si="17"/>
        <v>45</v>
      </c>
      <c r="O95" s="189">
        <f t="shared" si="18"/>
        <v>0.44999999999999996</v>
      </c>
      <c r="P95" s="45"/>
    </row>
    <row r="96" spans="3:16" ht="27.75" customHeight="1">
      <c r="C96" s="176" t="s">
        <v>161</v>
      </c>
      <c r="D96" s="190">
        <f>+'PARTE DIC2021'!E58</f>
        <v>568</v>
      </c>
      <c r="E96" s="190">
        <f>+'PARTE DIC2021'!F58</f>
        <v>717</v>
      </c>
      <c r="F96" s="190">
        <f>+'PARTE DIC2021'!G58</f>
        <v>75</v>
      </c>
      <c r="G96" s="190">
        <f>+'PARTE DIC2021'!H58</f>
        <v>237</v>
      </c>
      <c r="H96" s="190">
        <f>+'PARTE DIC2021'!I58</f>
        <v>41</v>
      </c>
      <c r="I96" s="190">
        <f>+'PARTE DIC2021'!J58</f>
        <v>278</v>
      </c>
      <c r="J96" s="190">
        <f>+'PARTE DIC2021'!K58</f>
        <v>480</v>
      </c>
      <c r="K96" s="190">
        <f>+'PARTE DIC2021'!L58</f>
        <v>34</v>
      </c>
      <c r="L96" s="190">
        <f>+'PARTE DIC2021'!M58</f>
        <v>514</v>
      </c>
      <c r="M96" s="190">
        <f>+'PARTE DIC2021'!N58</f>
        <v>792</v>
      </c>
      <c r="N96" s="190">
        <f t="shared" si="17"/>
        <v>224</v>
      </c>
      <c r="O96" s="191">
        <f t="shared" si="18"/>
        <v>0.39436619718309851</v>
      </c>
      <c r="P96" s="45"/>
    </row>
    <row r="97" spans="3:16" ht="27.75" customHeight="1">
      <c r="C97" s="175" t="s">
        <v>182</v>
      </c>
      <c r="D97" s="188">
        <f>+'PARTE DIC2021'!E59</f>
        <v>888</v>
      </c>
      <c r="E97" s="188">
        <f>+'PARTE DIC2021'!F59</f>
        <v>421</v>
      </c>
      <c r="F97" s="188">
        <f>+'PARTE DIC2021'!G59</f>
        <v>0</v>
      </c>
      <c r="G97" s="188">
        <f>+'PARTE DIC2021'!H59</f>
        <v>223</v>
      </c>
      <c r="H97" s="188">
        <f>+'PARTE DIC2021'!I59</f>
        <v>0</v>
      </c>
      <c r="I97" s="188">
        <f>+'PARTE DIC2021'!J59</f>
        <v>223</v>
      </c>
      <c r="J97" s="188">
        <f>+'PARTE DIC2021'!K59</f>
        <v>198</v>
      </c>
      <c r="K97" s="188">
        <f>+'PARTE DIC2021'!L59</f>
        <v>0</v>
      </c>
      <c r="L97" s="188">
        <f>+'PARTE DIC2021'!M59</f>
        <v>198</v>
      </c>
      <c r="M97" s="188">
        <f>+'PARTE DIC2021'!N59</f>
        <v>421</v>
      </c>
      <c r="N97" s="198">
        <f t="shared" si="17"/>
        <v>-467</v>
      </c>
      <c r="O97" s="199">
        <f t="shared" si="18"/>
        <v>-0.52590090090090091</v>
      </c>
      <c r="P97" s="45"/>
    </row>
    <row r="98" spans="3:16" ht="27.75" customHeight="1">
      <c r="C98" s="176" t="s">
        <v>194</v>
      </c>
      <c r="D98" s="190">
        <f>+'PARTE DIC2021'!E60</f>
        <v>84</v>
      </c>
      <c r="E98" s="190">
        <f>+'PARTE DIC2021'!F60</f>
        <v>81</v>
      </c>
      <c r="F98" s="190">
        <f>+'PARTE DIC2021'!G60</f>
        <v>0</v>
      </c>
      <c r="G98" s="190">
        <f>+'PARTE DIC2021'!H60</f>
        <v>15</v>
      </c>
      <c r="H98" s="190">
        <f>+'PARTE DIC2021'!I60</f>
        <v>0</v>
      </c>
      <c r="I98" s="190">
        <f>+'PARTE DIC2021'!J60</f>
        <v>15</v>
      </c>
      <c r="J98" s="190">
        <f>+'PARTE DIC2021'!K60</f>
        <v>66</v>
      </c>
      <c r="K98" s="190">
        <f>+'PARTE DIC2021'!L60</f>
        <v>0</v>
      </c>
      <c r="L98" s="190">
        <f>+'PARTE DIC2021'!M60</f>
        <v>66</v>
      </c>
      <c r="M98" s="190">
        <f>+'PARTE DIC2021'!N60</f>
        <v>81</v>
      </c>
      <c r="N98" s="198">
        <f t="shared" si="17"/>
        <v>-3</v>
      </c>
      <c r="O98" s="199">
        <f t="shared" si="18"/>
        <v>-3.5714285714285698E-2</v>
      </c>
      <c r="P98" s="45"/>
    </row>
    <row r="99" spans="3:16" ht="27.75" customHeight="1">
      <c r="C99" s="175" t="s">
        <v>153</v>
      </c>
      <c r="D99" s="188">
        <f>+'PARTE DIC2021'!E61</f>
        <v>88</v>
      </c>
      <c r="E99" s="188">
        <f>+'PARTE DIC2021'!F61</f>
        <v>119</v>
      </c>
      <c r="F99" s="188">
        <f>+'PARTE DIC2021'!G61</f>
        <v>0</v>
      </c>
      <c r="G99" s="188">
        <f>+'PARTE DIC2021'!H61</f>
        <v>56</v>
      </c>
      <c r="H99" s="188">
        <f>+'PARTE DIC2021'!I61</f>
        <v>0</v>
      </c>
      <c r="I99" s="188">
        <f>+'PARTE DIC2021'!J61</f>
        <v>56</v>
      </c>
      <c r="J99" s="188">
        <f>+'PARTE DIC2021'!K61</f>
        <v>63</v>
      </c>
      <c r="K99" s="188">
        <f>+'PARTE DIC2021'!L61</f>
        <v>0</v>
      </c>
      <c r="L99" s="188">
        <f>+'PARTE DIC2021'!M61</f>
        <v>63</v>
      </c>
      <c r="M99" s="188">
        <f>+'PARTE DIC2021'!N61</f>
        <v>119</v>
      </c>
      <c r="N99" s="188">
        <f t="shared" si="17"/>
        <v>31</v>
      </c>
      <c r="O99" s="189">
        <f t="shared" si="18"/>
        <v>0.35227272727272729</v>
      </c>
      <c r="P99" s="45"/>
    </row>
    <row r="100" spans="3:16" ht="27.75" customHeight="1">
      <c r="C100" s="176" t="s">
        <v>154</v>
      </c>
      <c r="D100" s="190">
        <f>+'PARTE DIC2021'!E62</f>
        <v>274</v>
      </c>
      <c r="E100" s="190">
        <f>+'PARTE DIC2021'!F62</f>
        <v>388</v>
      </c>
      <c r="F100" s="190">
        <f>+'PARTE DIC2021'!G62</f>
        <v>19</v>
      </c>
      <c r="G100" s="190">
        <f>+'PARTE DIC2021'!H62</f>
        <v>237</v>
      </c>
      <c r="H100" s="190">
        <f>+'PARTE DIC2021'!I62</f>
        <v>16</v>
      </c>
      <c r="I100" s="190">
        <f>+'PARTE DIC2021'!J62</f>
        <v>253</v>
      </c>
      <c r="J100" s="190">
        <f>+'PARTE DIC2021'!K62</f>
        <v>151</v>
      </c>
      <c r="K100" s="190">
        <f>+'PARTE DIC2021'!L62</f>
        <v>3</v>
      </c>
      <c r="L100" s="190">
        <f>+'PARTE DIC2021'!M62</f>
        <v>154</v>
      </c>
      <c r="M100" s="190">
        <f>+'PARTE DIC2021'!N62</f>
        <v>407</v>
      </c>
      <c r="N100" s="190">
        <f t="shared" si="17"/>
        <v>133</v>
      </c>
      <c r="O100" s="191">
        <f t="shared" si="18"/>
        <v>0.48540145985401462</v>
      </c>
      <c r="P100" s="45"/>
    </row>
    <row r="101" spans="3:16" ht="27.75" customHeight="1">
      <c r="C101" s="175" t="s">
        <v>162</v>
      </c>
      <c r="D101" s="188">
        <f>+'PARTE DIC2021'!E63</f>
        <v>1257</v>
      </c>
      <c r="E101" s="188">
        <f>+'PARTE DIC2021'!F63</f>
        <v>2098</v>
      </c>
      <c r="F101" s="188">
        <f>+'PARTE DIC2021'!G63</f>
        <v>0</v>
      </c>
      <c r="G101" s="188">
        <f>+'PARTE DIC2021'!H63</f>
        <v>539</v>
      </c>
      <c r="H101" s="188">
        <f>+'PARTE DIC2021'!I63</f>
        <v>0</v>
      </c>
      <c r="I101" s="188">
        <f>+'PARTE DIC2021'!J63</f>
        <v>539</v>
      </c>
      <c r="J101" s="188">
        <f>+'PARTE DIC2021'!K63</f>
        <v>1559</v>
      </c>
      <c r="K101" s="188">
        <f>+'PARTE DIC2021'!L63</f>
        <v>0</v>
      </c>
      <c r="L101" s="188">
        <f>+'PARTE DIC2021'!M63</f>
        <v>1559</v>
      </c>
      <c r="M101" s="188">
        <f>+'PARTE DIC2021'!N63</f>
        <v>2098</v>
      </c>
      <c r="N101" s="188">
        <f t="shared" ref="N101:N111" si="19">+M101-D101</f>
        <v>841</v>
      </c>
      <c r="O101" s="189">
        <f t="shared" ref="O101:O111" si="20">+M101*1/D101-1</f>
        <v>0.66905330151153541</v>
      </c>
      <c r="P101" s="45"/>
    </row>
    <row r="102" spans="3:16" ht="27.75" customHeight="1">
      <c r="C102" s="176" t="s">
        <v>172</v>
      </c>
      <c r="D102" s="190">
        <f>+'PARTE DIC2021'!E64</f>
        <v>2046</v>
      </c>
      <c r="E102" s="190">
        <f>+'PARTE DIC2021'!F64</f>
        <v>4572</v>
      </c>
      <c r="F102" s="190">
        <f>+'PARTE DIC2021'!G64</f>
        <v>0</v>
      </c>
      <c r="G102" s="190">
        <f>+'PARTE DIC2021'!H64</f>
        <v>1683</v>
      </c>
      <c r="H102" s="190">
        <f>+'PARTE DIC2021'!I64</f>
        <v>0</v>
      </c>
      <c r="I102" s="190">
        <f>+'PARTE DIC2021'!J64</f>
        <v>1683</v>
      </c>
      <c r="J102" s="190">
        <f>+'PARTE DIC2021'!K64</f>
        <v>2889</v>
      </c>
      <c r="K102" s="190">
        <f>+'PARTE DIC2021'!L64</f>
        <v>0</v>
      </c>
      <c r="L102" s="190">
        <f>+'PARTE DIC2021'!M64</f>
        <v>2889</v>
      </c>
      <c r="M102" s="190">
        <f>+'PARTE DIC2021'!N64</f>
        <v>4572</v>
      </c>
      <c r="N102" s="190">
        <f t="shared" si="19"/>
        <v>2526</v>
      </c>
      <c r="O102" s="191">
        <f t="shared" si="20"/>
        <v>1.2346041055718473</v>
      </c>
      <c r="P102" s="45"/>
    </row>
    <row r="103" spans="3:16" ht="27.75" customHeight="1">
      <c r="C103" s="175" t="s">
        <v>183</v>
      </c>
      <c r="D103" s="188">
        <f>+'PARTE DIC2021'!E65</f>
        <v>821</v>
      </c>
      <c r="E103" s="188">
        <f>+'PARTE DIC2021'!F65</f>
        <v>873</v>
      </c>
      <c r="F103" s="188">
        <f>+'PARTE DIC2021'!G65</f>
        <v>0</v>
      </c>
      <c r="G103" s="188">
        <f>+'PARTE DIC2021'!H65</f>
        <v>547</v>
      </c>
      <c r="H103" s="188">
        <f>+'PARTE DIC2021'!I65</f>
        <v>0</v>
      </c>
      <c r="I103" s="188">
        <f>+'PARTE DIC2021'!J65</f>
        <v>547</v>
      </c>
      <c r="J103" s="188">
        <f>+'PARTE DIC2021'!K65</f>
        <v>326</v>
      </c>
      <c r="K103" s="188">
        <f>+'PARTE DIC2021'!L65</f>
        <v>0</v>
      </c>
      <c r="L103" s="188">
        <f>+'PARTE DIC2021'!M65</f>
        <v>326</v>
      </c>
      <c r="M103" s="188">
        <f>+'PARTE DIC2021'!N65</f>
        <v>873</v>
      </c>
      <c r="N103" s="188">
        <f t="shared" si="19"/>
        <v>52</v>
      </c>
      <c r="O103" s="189">
        <f t="shared" si="20"/>
        <v>6.3337393422655319E-2</v>
      </c>
      <c r="P103" s="45"/>
    </row>
    <row r="104" spans="3:16" ht="27.75" customHeight="1">
      <c r="C104" s="176" t="s">
        <v>189</v>
      </c>
      <c r="D104" s="190">
        <f>+'PARTE DIC2021'!E66</f>
        <v>315</v>
      </c>
      <c r="E104" s="190">
        <f>+'PARTE DIC2021'!F66</f>
        <v>368</v>
      </c>
      <c r="F104" s="190">
        <f>+'PARTE DIC2021'!G66</f>
        <v>28</v>
      </c>
      <c r="G104" s="190">
        <f>+'PARTE DIC2021'!H66</f>
        <v>257</v>
      </c>
      <c r="H104" s="190">
        <f>+'PARTE DIC2021'!I66</f>
        <v>23</v>
      </c>
      <c r="I104" s="190">
        <f>+'PARTE DIC2021'!J66</f>
        <v>280</v>
      </c>
      <c r="J104" s="190">
        <f>+'PARTE DIC2021'!K66</f>
        <v>111</v>
      </c>
      <c r="K104" s="190">
        <f>+'PARTE DIC2021'!L66</f>
        <v>5</v>
      </c>
      <c r="L104" s="190">
        <f>+'PARTE DIC2021'!M66</f>
        <v>116</v>
      </c>
      <c r="M104" s="190">
        <f>+'PARTE DIC2021'!N66</f>
        <v>396</v>
      </c>
      <c r="N104" s="190">
        <f t="shared" si="19"/>
        <v>81</v>
      </c>
      <c r="O104" s="191">
        <f t="shared" si="20"/>
        <v>0.25714285714285712</v>
      </c>
      <c r="P104" s="45"/>
    </row>
    <row r="105" spans="3:16" ht="27.75" customHeight="1">
      <c r="C105" s="175" t="s">
        <v>223</v>
      </c>
      <c r="D105" s="188">
        <f>+'PARTE DIC2021'!E67</f>
        <v>1078</v>
      </c>
      <c r="E105" s="188">
        <f>+'PARTE DIC2021'!F67</f>
        <v>1229</v>
      </c>
      <c r="F105" s="188">
        <f>+'PARTE DIC2021'!G67</f>
        <v>0</v>
      </c>
      <c r="G105" s="188">
        <f>+'PARTE DIC2021'!H67</f>
        <v>521</v>
      </c>
      <c r="H105" s="188">
        <f>+'PARTE DIC2021'!I67</f>
        <v>0</v>
      </c>
      <c r="I105" s="188">
        <f>+'PARTE DIC2021'!J67</f>
        <v>521</v>
      </c>
      <c r="J105" s="188">
        <f>+'PARTE DIC2021'!K67</f>
        <v>708</v>
      </c>
      <c r="K105" s="188">
        <f>+'PARTE DIC2021'!L67</f>
        <v>0</v>
      </c>
      <c r="L105" s="188">
        <f>+'PARTE DIC2021'!M67</f>
        <v>708</v>
      </c>
      <c r="M105" s="188">
        <f>+'PARTE DIC2021'!N67</f>
        <v>1229</v>
      </c>
      <c r="N105" s="188">
        <f t="shared" si="19"/>
        <v>151</v>
      </c>
      <c r="O105" s="189">
        <f t="shared" si="20"/>
        <v>0.14007421150278287</v>
      </c>
      <c r="P105" s="45"/>
    </row>
    <row r="106" spans="3:16" ht="27.75" customHeight="1">
      <c r="C106" s="176" t="s">
        <v>163</v>
      </c>
      <c r="D106" s="190">
        <f>+'PARTE DIC2021'!E68</f>
        <v>2524</v>
      </c>
      <c r="E106" s="190">
        <f>+'PARTE DIC2021'!F68</f>
        <v>2505</v>
      </c>
      <c r="F106" s="190">
        <f>+'PARTE DIC2021'!G68</f>
        <v>0</v>
      </c>
      <c r="G106" s="190">
        <f>+'PARTE DIC2021'!H68</f>
        <v>731</v>
      </c>
      <c r="H106" s="190">
        <f>+'PARTE DIC2021'!I68</f>
        <v>0</v>
      </c>
      <c r="I106" s="190">
        <f>+'PARTE DIC2021'!J68</f>
        <v>731</v>
      </c>
      <c r="J106" s="190">
        <f>+'PARTE DIC2021'!K68</f>
        <v>1774</v>
      </c>
      <c r="K106" s="190">
        <f>+'PARTE DIC2021'!L68</f>
        <v>0</v>
      </c>
      <c r="L106" s="190">
        <f>+'PARTE DIC2021'!M68</f>
        <v>1774</v>
      </c>
      <c r="M106" s="190">
        <f>+'PARTE DIC2021'!N68</f>
        <v>2505</v>
      </c>
      <c r="N106" s="198">
        <f t="shared" si="19"/>
        <v>-19</v>
      </c>
      <c r="O106" s="199">
        <f t="shared" si="20"/>
        <v>-7.5277337559429558E-3</v>
      </c>
      <c r="P106" s="45"/>
    </row>
    <row r="107" spans="3:16" ht="27.75" customHeight="1">
      <c r="C107" s="175" t="s">
        <v>190</v>
      </c>
      <c r="D107" s="188">
        <f>+'PARTE DIC2021'!E69</f>
        <v>428</v>
      </c>
      <c r="E107" s="188">
        <f>+'PARTE DIC2021'!F69</f>
        <v>502</v>
      </c>
      <c r="F107" s="188">
        <f>+'PARTE DIC2021'!G69</f>
        <v>0</v>
      </c>
      <c r="G107" s="188">
        <f>+'PARTE DIC2021'!H69</f>
        <v>175</v>
      </c>
      <c r="H107" s="188">
        <f>+'PARTE DIC2021'!I69</f>
        <v>0</v>
      </c>
      <c r="I107" s="188">
        <f>+'PARTE DIC2021'!J69</f>
        <v>175</v>
      </c>
      <c r="J107" s="188">
        <f>+'PARTE DIC2021'!K69</f>
        <v>327</v>
      </c>
      <c r="K107" s="188">
        <f>+'PARTE DIC2021'!L69</f>
        <v>0</v>
      </c>
      <c r="L107" s="188">
        <f>+'PARTE DIC2021'!M69</f>
        <v>327</v>
      </c>
      <c r="M107" s="188">
        <f>+'PARTE DIC2021'!N69</f>
        <v>502</v>
      </c>
      <c r="N107" s="188">
        <f t="shared" si="19"/>
        <v>74</v>
      </c>
      <c r="O107" s="189">
        <f t="shared" si="20"/>
        <v>0.17289719626168232</v>
      </c>
      <c r="P107" s="45"/>
    </row>
    <row r="108" spans="3:16" ht="27.75" customHeight="1">
      <c r="C108" s="176" t="s">
        <v>195</v>
      </c>
      <c r="D108" s="190">
        <f>+'PARTE DIC2021'!E70</f>
        <v>102</v>
      </c>
      <c r="E108" s="190">
        <f>+'PARTE DIC2021'!F70</f>
        <v>112</v>
      </c>
      <c r="F108" s="190">
        <f>+'PARTE DIC2021'!G70</f>
        <v>0</v>
      </c>
      <c r="G108" s="190">
        <f>+'PARTE DIC2021'!H70</f>
        <v>44</v>
      </c>
      <c r="H108" s="190">
        <f>+'PARTE DIC2021'!I70</f>
        <v>0</v>
      </c>
      <c r="I108" s="190">
        <f>+'PARTE DIC2021'!J70</f>
        <v>44</v>
      </c>
      <c r="J108" s="190">
        <f>+'PARTE DIC2021'!K70</f>
        <v>68</v>
      </c>
      <c r="K108" s="190">
        <f>+'PARTE DIC2021'!L70</f>
        <v>0</v>
      </c>
      <c r="L108" s="190">
        <f>+'PARTE DIC2021'!M70</f>
        <v>68</v>
      </c>
      <c r="M108" s="190">
        <f>+'PARTE DIC2021'!N70</f>
        <v>112</v>
      </c>
      <c r="N108" s="190">
        <f t="shared" si="19"/>
        <v>10</v>
      </c>
      <c r="O108" s="191">
        <f t="shared" si="20"/>
        <v>9.8039215686274606E-2</v>
      </c>
      <c r="P108" s="45"/>
    </row>
    <row r="109" spans="3:16" ht="27.75" customHeight="1">
      <c r="C109" s="175" t="s">
        <v>837</v>
      </c>
      <c r="D109" s="188">
        <f>+'PARTE DIC2021'!E71</f>
        <v>0</v>
      </c>
      <c r="E109" s="188">
        <f>+'PARTE DIC2021'!F71</f>
        <v>0</v>
      </c>
      <c r="F109" s="188">
        <f>+'PARTE DIC2021'!G71</f>
        <v>0</v>
      </c>
      <c r="G109" s="188">
        <f>+'PARTE DIC2021'!H71</f>
        <v>0</v>
      </c>
      <c r="H109" s="188">
        <f>+'PARTE DIC2021'!I71</f>
        <v>0</v>
      </c>
      <c r="I109" s="188">
        <f>+'PARTE DIC2021'!J71</f>
        <v>0</v>
      </c>
      <c r="J109" s="188">
        <f>+'PARTE DIC2021'!K71</f>
        <v>0</v>
      </c>
      <c r="K109" s="188">
        <f>+'PARTE DIC2021'!L71</f>
        <v>0</v>
      </c>
      <c r="L109" s="188">
        <f>+'PARTE DIC2021'!M71</f>
        <v>0</v>
      </c>
      <c r="M109" s="188">
        <f>+'PARTE DIC2021'!N71</f>
        <v>0</v>
      </c>
      <c r="N109" s="1301">
        <f>+'PARTE DIC2021'!O71</f>
        <v>0</v>
      </c>
      <c r="O109" s="1301">
        <f>+'PARTE DIC2021'!P71</f>
        <v>0</v>
      </c>
      <c r="P109" s="45"/>
    </row>
    <row r="110" spans="3:16" ht="27.75" customHeight="1">
      <c r="C110" s="176" t="s">
        <v>157</v>
      </c>
      <c r="D110" s="190">
        <f>+'PARTE DIC2021'!E72</f>
        <v>88</v>
      </c>
      <c r="E110" s="190">
        <f>+'PARTE DIC2021'!F72</f>
        <v>72</v>
      </c>
      <c r="F110" s="190">
        <f>+'PARTE DIC2021'!G72</f>
        <v>0</v>
      </c>
      <c r="G110" s="190">
        <f>+'PARTE DIC2021'!H72</f>
        <v>22</v>
      </c>
      <c r="H110" s="190">
        <f>+'PARTE DIC2021'!I72</f>
        <v>0</v>
      </c>
      <c r="I110" s="190">
        <f>+'PARTE DIC2021'!J72</f>
        <v>22</v>
      </c>
      <c r="J110" s="190">
        <f>+'PARTE DIC2021'!K72</f>
        <v>50</v>
      </c>
      <c r="K110" s="190">
        <f>+'PARTE DIC2021'!L72</f>
        <v>0</v>
      </c>
      <c r="L110" s="190">
        <f>+'PARTE DIC2021'!M72</f>
        <v>50</v>
      </c>
      <c r="M110" s="190">
        <f>+'PARTE DIC2021'!N72</f>
        <v>72</v>
      </c>
      <c r="N110" s="1301">
        <f t="shared" si="19"/>
        <v>-16</v>
      </c>
      <c r="O110" s="1302">
        <f t="shared" si="20"/>
        <v>-0.18181818181818177</v>
      </c>
      <c r="P110" s="45"/>
    </row>
    <row r="111" spans="3:16" ht="27.75" customHeight="1">
      <c r="C111" s="175" t="s">
        <v>158</v>
      </c>
      <c r="D111" s="1106">
        <f>+'PARTE DIC2021'!E73</f>
        <v>4444</v>
      </c>
      <c r="E111" s="1106">
        <f>+'PARTE DIC2021'!F73</f>
        <v>3258</v>
      </c>
      <c r="F111" s="1106">
        <f>+'PARTE DIC2021'!G73</f>
        <v>1056</v>
      </c>
      <c r="G111" s="1106">
        <f>+'PARTE DIC2021'!H73</f>
        <v>207</v>
      </c>
      <c r="H111" s="1106">
        <f>+'PARTE DIC2021'!I73</f>
        <v>357</v>
      </c>
      <c r="I111" s="1106">
        <f>+'PARTE DIC2021'!J73</f>
        <v>564</v>
      </c>
      <c r="J111" s="1106">
        <f>+'PARTE DIC2021'!K73</f>
        <v>3051</v>
      </c>
      <c r="K111" s="1106">
        <f>+'PARTE DIC2021'!L73</f>
        <v>699</v>
      </c>
      <c r="L111" s="1106">
        <f>+'PARTE DIC2021'!M73</f>
        <v>3750</v>
      </c>
      <c r="M111" s="1106">
        <f>+'PARTE DIC2021'!N73</f>
        <v>4314</v>
      </c>
      <c r="N111" s="1303">
        <f t="shared" si="19"/>
        <v>-130</v>
      </c>
      <c r="O111" s="1304">
        <f t="shared" si="20"/>
        <v>-2.9252925292529208E-2</v>
      </c>
      <c r="P111" s="45"/>
    </row>
    <row r="112" spans="3:16" s="597" customFormat="1" ht="33.75" customHeight="1">
      <c r="C112" s="599" t="s">
        <v>81</v>
      </c>
      <c r="D112" s="600">
        <f t="shared" ref="D112:M112" si="21">SUM(D90:D111)</f>
        <v>15793</v>
      </c>
      <c r="E112" s="600">
        <f t="shared" si="21"/>
        <v>17999</v>
      </c>
      <c r="F112" s="600">
        <f t="shared" si="21"/>
        <v>1323</v>
      </c>
      <c r="G112" s="600">
        <f t="shared" si="21"/>
        <v>5750</v>
      </c>
      <c r="H112" s="600">
        <f t="shared" si="21"/>
        <v>493</v>
      </c>
      <c r="I112" s="600">
        <f t="shared" si="21"/>
        <v>6243</v>
      </c>
      <c r="J112" s="600">
        <f t="shared" si="21"/>
        <v>12249</v>
      </c>
      <c r="K112" s="600">
        <f t="shared" si="21"/>
        <v>830</v>
      </c>
      <c r="L112" s="600">
        <f t="shared" si="21"/>
        <v>13079</v>
      </c>
      <c r="M112" s="600">
        <f t="shared" si="21"/>
        <v>19322</v>
      </c>
      <c r="N112" s="600">
        <f>+M112-D112</f>
        <v>3529</v>
      </c>
      <c r="O112" s="601">
        <f>+M112*1/D112-1</f>
        <v>0.22345342873424934</v>
      </c>
      <c r="P112" s="602"/>
    </row>
    <row r="113" spans="3:28" s="597" customFormat="1" ht="33.75" customHeight="1" thickBot="1">
      <c r="C113" s="603" t="s">
        <v>117</v>
      </c>
      <c r="D113" s="604">
        <f t="shared" ref="D113:N113" si="22">+D112/D$15</f>
        <v>0.1963595220629375</v>
      </c>
      <c r="E113" s="604">
        <f t="shared" si="22"/>
        <v>0.19945479327578375</v>
      </c>
      <c r="F113" s="604">
        <f t="shared" si="22"/>
        <v>0.19829136690647481</v>
      </c>
      <c r="G113" s="604">
        <f t="shared" si="22"/>
        <v>0.24986963323483399</v>
      </c>
      <c r="H113" s="604">
        <f t="shared" si="22"/>
        <v>0.19086333720480061</v>
      </c>
      <c r="I113" s="604">
        <f t="shared" si="22"/>
        <v>0.24391482711467083</v>
      </c>
      <c r="J113" s="604">
        <f t="shared" si="22"/>
        <v>0.18219815853277604</v>
      </c>
      <c r="K113" s="604">
        <f t="shared" si="22"/>
        <v>0.20298361457569089</v>
      </c>
      <c r="L113" s="604">
        <f t="shared" si="22"/>
        <v>0.18338988754592109</v>
      </c>
      <c r="M113" s="604">
        <f t="shared" si="22"/>
        <v>0.19937469689308968</v>
      </c>
      <c r="N113" s="604">
        <f t="shared" si="22"/>
        <v>0.21408638679932054</v>
      </c>
      <c r="O113" s="605">
        <f>+O112/$R$25</f>
        <v>0.16154372882817308</v>
      </c>
      <c r="P113" s="602"/>
    </row>
    <row r="114" spans="3:28" ht="30" customHeight="1">
      <c r="C114" s="50" t="s">
        <v>78</v>
      </c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4"/>
      <c r="P114" s="45"/>
      <c r="Z114" s="56"/>
      <c r="AB114" s="56"/>
    </row>
    <row r="115" spans="3:28">
      <c r="Z115" s="56"/>
      <c r="AB115" s="56"/>
    </row>
    <row r="116" spans="3:28">
      <c r="X116" s="36"/>
      <c r="Z116" s="56"/>
      <c r="AB116" s="56"/>
    </row>
    <row r="117" spans="3:28">
      <c r="Z117" s="56"/>
      <c r="AB117" s="56"/>
    </row>
    <row r="118" spans="3:28" ht="15.75">
      <c r="C118" s="2028" t="s">
        <v>731</v>
      </c>
      <c r="D118" s="2028"/>
      <c r="E118" s="2028"/>
      <c r="F118" s="2028"/>
      <c r="G118" s="2028"/>
      <c r="H118" s="2028"/>
      <c r="I118" s="2028"/>
      <c r="J118" s="2028"/>
      <c r="K118" s="2028"/>
      <c r="L118" s="2028"/>
      <c r="M118" s="2028"/>
      <c r="N118" s="2028"/>
      <c r="O118" s="2028"/>
      <c r="P118" s="2028"/>
      <c r="Z118" s="56"/>
      <c r="AB118" s="56"/>
    </row>
    <row r="119" spans="3:28" ht="13.5" thickBot="1">
      <c r="C119" s="49"/>
      <c r="D119" s="38"/>
      <c r="E119" s="39"/>
      <c r="F119" s="38"/>
      <c r="G119" s="38"/>
      <c r="H119" s="38"/>
      <c r="I119" s="39" t="s">
        <v>51</v>
      </c>
      <c r="M119" s="40"/>
      <c r="Z119" s="56"/>
      <c r="AB119" s="56"/>
    </row>
    <row r="120" spans="3:28" s="597" customFormat="1" ht="53.25" customHeight="1">
      <c r="C120" s="2029" t="s">
        <v>57</v>
      </c>
      <c r="D120" s="2019" t="s">
        <v>87</v>
      </c>
      <c r="E120" s="2032" t="s">
        <v>402</v>
      </c>
      <c r="F120" s="2032"/>
      <c r="G120" s="2032" t="s">
        <v>235</v>
      </c>
      <c r="H120" s="2032"/>
      <c r="I120" s="2032"/>
      <c r="J120" s="2032"/>
      <c r="K120" s="2032"/>
      <c r="L120" s="2032"/>
      <c r="M120" s="2019" t="s">
        <v>403</v>
      </c>
      <c r="N120" s="2022" t="s">
        <v>401</v>
      </c>
      <c r="O120" s="2025" t="s">
        <v>404</v>
      </c>
      <c r="P120" s="41"/>
      <c r="Z120" s="598"/>
      <c r="AB120" s="598"/>
    </row>
    <row r="121" spans="3:28" s="597" customFormat="1" ht="53.25" customHeight="1">
      <c r="C121" s="2030"/>
      <c r="D121" s="2020"/>
      <c r="E121" s="2033"/>
      <c r="F121" s="2033"/>
      <c r="G121" s="2034" t="s">
        <v>74</v>
      </c>
      <c r="H121" s="2034"/>
      <c r="I121" s="2023" t="s">
        <v>75</v>
      </c>
      <c r="J121" s="2034" t="s">
        <v>76</v>
      </c>
      <c r="K121" s="2034"/>
      <c r="L121" s="2023" t="s">
        <v>75</v>
      </c>
      <c r="M121" s="2020"/>
      <c r="N121" s="2023"/>
      <c r="O121" s="2026"/>
      <c r="P121" s="41"/>
    </row>
    <row r="122" spans="3:28" s="597" customFormat="1" ht="53.25" customHeight="1">
      <c r="C122" s="2031"/>
      <c r="D122" s="2021"/>
      <c r="E122" s="607" t="s">
        <v>44</v>
      </c>
      <c r="F122" s="607" t="s">
        <v>45</v>
      </c>
      <c r="G122" s="607" t="s">
        <v>44</v>
      </c>
      <c r="H122" s="607" t="s">
        <v>45</v>
      </c>
      <c r="I122" s="2024"/>
      <c r="J122" s="607" t="s">
        <v>44</v>
      </c>
      <c r="K122" s="607" t="s">
        <v>45</v>
      </c>
      <c r="L122" s="2024"/>
      <c r="M122" s="2021"/>
      <c r="N122" s="2024"/>
      <c r="O122" s="2027"/>
      <c r="P122" s="41"/>
    </row>
    <row r="123" spans="3:28" ht="27.75" customHeight="1">
      <c r="C123" s="176" t="s">
        <v>229</v>
      </c>
      <c r="D123" s="190">
        <f>+'PARTE DIC2021'!E74</f>
        <v>454</v>
      </c>
      <c r="E123" s="190">
        <f>+'PARTE DIC2021'!F74</f>
        <v>663</v>
      </c>
      <c r="F123" s="190">
        <f>+'PARTE DIC2021'!G74</f>
        <v>0</v>
      </c>
      <c r="G123" s="190">
        <f>+'PARTE DIC2021'!H74</f>
        <v>431</v>
      </c>
      <c r="H123" s="190">
        <f>+'PARTE DIC2021'!I74</f>
        <v>0</v>
      </c>
      <c r="I123" s="190">
        <f>+'PARTE DIC2021'!J74</f>
        <v>431</v>
      </c>
      <c r="J123" s="190">
        <f>+'PARTE DIC2021'!K74</f>
        <v>232</v>
      </c>
      <c r="K123" s="190">
        <f>+'PARTE DIC2021'!L74</f>
        <v>0</v>
      </c>
      <c r="L123" s="190">
        <f>+'PARTE DIC2021'!M74</f>
        <v>232</v>
      </c>
      <c r="M123" s="190">
        <f>+'PARTE DIC2021'!N74</f>
        <v>663</v>
      </c>
      <c r="N123" s="190">
        <f>+M123-D123</f>
        <v>209</v>
      </c>
      <c r="O123" s="191">
        <f>+M123*1/D123-1</f>
        <v>0.4603524229074889</v>
      </c>
      <c r="P123" s="45"/>
    </row>
    <row r="124" spans="3:28" ht="27.75" customHeight="1">
      <c r="C124" s="175" t="s">
        <v>206</v>
      </c>
      <c r="D124" s="188">
        <f>+'PARTE DIC2021'!E75</f>
        <v>50</v>
      </c>
      <c r="E124" s="188">
        <f>+'PARTE DIC2021'!F75</f>
        <v>0</v>
      </c>
      <c r="F124" s="188">
        <f>+'PARTE DIC2021'!G75</f>
        <v>0</v>
      </c>
      <c r="G124" s="188">
        <f>+'PARTE DIC2021'!H75</f>
        <v>0</v>
      </c>
      <c r="H124" s="188">
        <f>+'PARTE DIC2021'!I75</f>
        <v>0</v>
      </c>
      <c r="I124" s="188">
        <f>+'PARTE DIC2021'!J75</f>
        <v>0</v>
      </c>
      <c r="J124" s="188">
        <f>+'PARTE DIC2021'!K75</f>
        <v>0</v>
      </c>
      <c r="K124" s="188">
        <f>+'PARTE DIC2021'!L75</f>
        <v>0</v>
      </c>
      <c r="L124" s="188">
        <f>+'PARTE DIC2021'!M75</f>
        <v>0</v>
      </c>
      <c r="M124" s="188">
        <f>+'PARTE DIC2021'!N75</f>
        <v>0</v>
      </c>
      <c r="N124" s="198">
        <f t="shared" ref="N124:N137" si="23">+M124-D124</f>
        <v>-50</v>
      </c>
      <c r="O124" s="199">
        <f t="shared" ref="O124:O137" si="24">+M124*1/D124-1</f>
        <v>-1</v>
      </c>
      <c r="P124" s="45"/>
    </row>
    <row r="125" spans="3:28" ht="27.75" customHeight="1">
      <c r="C125" s="176" t="s">
        <v>207</v>
      </c>
      <c r="D125" s="190">
        <f>+'PARTE DIC2021'!E76</f>
        <v>1464</v>
      </c>
      <c r="E125" s="190">
        <f>+'PARTE DIC2021'!F76</f>
        <v>1796</v>
      </c>
      <c r="F125" s="190">
        <f>+'PARTE DIC2021'!G76</f>
        <v>2</v>
      </c>
      <c r="G125" s="190">
        <f>+'PARTE DIC2021'!H76</f>
        <v>1048</v>
      </c>
      <c r="H125" s="190">
        <f>+'PARTE DIC2021'!I76</f>
        <v>0</v>
      </c>
      <c r="I125" s="190">
        <f>+'PARTE DIC2021'!J76</f>
        <v>1048</v>
      </c>
      <c r="J125" s="190">
        <f>+'PARTE DIC2021'!K76</f>
        <v>748</v>
      </c>
      <c r="K125" s="190">
        <f>+'PARTE DIC2021'!L76</f>
        <v>2</v>
      </c>
      <c r="L125" s="190">
        <f>+'PARTE DIC2021'!M76</f>
        <v>750</v>
      </c>
      <c r="M125" s="190">
        <f>+'PARTE DIC2021'!N76</f>
        <v>1798</v>
      </c>
      <c r="N125" s="190">
        <f t="shared" si="23"/>
        <v>334</v>
      </c>
      <c r="O125" s="191">
        <f t="shared" si="24"/>
        <v>0.22814207650273222</v>
      </c>
      <c r="P125" s="45"/>
    </row>
    <row r="126" spans="3:28" ht="27.75" customHeight="1">
      <c r="C126" s="175" t="s">
        <v>208</v>
      </c>
      <c r="D126" s="188">
        <f>+'PARTE DIC2021'!E77</f>
        <v>72</v>
      </c>
      <c r="E126" s="188">
        <f>+'PARTE DIC2021'!F77</f>
        <v>91</v>
      </c>
      <c r="F126" s="188">
        <f>+'PARTE DIC2021'!G77</f>
        <v>0</v>
      </c>
      <c r="G126" s="188">
        <f>+'PARTE DIC2021'!H77</f>
        <v>22</v>
      </c>
      <c r="H126" s="188">
        <f>+'PARTE DIC2021'!I77</f>
        <v>0</v>
      </c>
      <c r="I126" s="188">
        <f>+'PARTE DIC2021'!J77</f>
        <v>22</v>
      </c>
      <c r="J126" s="188">
        <f>+'PARTE DIC2021'!K77</f>
        <v>69</v>
      </c>
      <c r="K126" s="188">
        <f>+'PARTE DIC2021'!L77</f>
        <v>0</v>
      </c>
      <c r="L126" s="188">
        <f>+'PARTE DIC2021'!M77</f>
        <v>69</v>
      </c>
      <c r="M126" s="188">
        <f>+'PARTE DIC2021'!N77</f>
        <v>91</v>
      </c>
      <c r="N126" s="188">
        <f t="shared" si="23"/>
        <v>19</v>
      </c>
      <c r="O126" s="189">
        <f t="shared" si="24"/>
        <v>0.26388888888888884</v>
      </c>
      <c r="P126" s="45"/>
    </row>
    <row r="127" spans="3:28" ht="27.75" customHeight="1">
      <c r="C127" s="176" t="s">
        <v>209</v>
      </c>
      <c r="D127" s="190">
        <f>+'PARTE DIC2021'!E78</f>
        <v>256</v>
      </c>
      <c r="E127" s="190">
        <f>+'PARTE DIC2021'!F78</f>
        <v>554</v>
      </c>
      <c r="F127" s="190">
        <f>+'PARTE DIC2021'!G78</f>
        <v>91</v>
      </c>
      <c r="G127" s="190">
        <f>+'PARTE DIC2021'!H78</f>
        <v>205</v>
      </c>
      <c r="H127" s="190">
        <f>+'PARTE DIC2021'!I78</f>
        <v>60</v>
      </c>
      <c r="I127" s="190">
        <f>+'PARTE DIC2021'!J78</f>
        <v>265</v>
      </c>
      <c r="J127" s="190">
        <f>+'PARTE DIC2021'!K78</f>
        <v>349</v>
      </c>
      <c r="K127" s="190">
        <f>+'PARTE DIC2021'!L78</f>
        <v>31</v>
      </c>
      <c r="L127" s="190">
        <f>+'PARTE DIC2021'!M78</f>
        <v>380</v>
      </c>
      <c r="M127" s="190">
        <f>+'PARTE DIC2021'!N78</f>
        <v>645</v>
      </c>
      <c r="N127" s="190">
        <f t="shared" si="23"/>
        <v>389</v>
      </c>
      <c r="O127" s="191">
        <f t="shared" si="24"/>
        <v>1.51953125</v>
      </c>
      <c r="P127" s="45"/>
    </row>
    <row r="128" spans="3:28" ht="27.75" customHeight="1">
      <c r="C128" s="175" t="s">
        <v>210</v>
      </c>
      <c r="D128" s="188">
        <f>+'PARTE DIC2021'!E79</f>
        <v>840</v>
      </c>
      <c r="E128" s="188">
        <f>+'PARTE DIC2021'!F79</f>
        <v>888</v>
      </c>
      <c r="F128" s="188">
        <f>+'PARTE DIC2021'!G79</f>
        <v>85</v>
      </c>
      <c r="G128" s="188">
        <f>+'PARTE DIC2021'!H79</f>
        <v>301</v>
      </c>
      <c r="H128" s="188">
        <f>+'PARTE DIC2021'!I79</f>
        <v>31</v>
      </c>
      <c r="I128" s="188">
        <f>+'PARTE DIC2021'!J79</f>
        <v>332</v>
      </c>
      <c r="J128" s="188">
        <f>+'PARTE DIC2021'!K79</f>
        <v>587</v>
      </c>
      <c r="K128" s="188">
        <f>+'PARTE DIC2021'!L79</f>
        <v>54</v>
      </c>
      <c r="L128" s="188">
        <f>+'PARTE DIC2021'!M79</f>
        <v>641</v>
      </c>
      <c r="M128" s="188">
        <f>+'PARTE DIC2021'!N79</f>
        <v>973</v>
      </c>
      <c r="N128" s="188">
        <f t="shared" si="23"/>
        <v>133</v>
      </c>
      <c r="O128" s="189">
        <f t="shared" si="24"/>
        <v>0.15833333333333344</v>
      </c>
      <c r="P128" s="45"/>
    </row>
    <row r="129" spans="3:16" ht="27.75" customHeight="1">
      <c r="C129" s="176" t="s">
        <v>155</v>
      </c>
      <c r="D129" s="190">
        <f>+'PARTE DIC2021'!E80</f>
        <v>100</v>
      </c>
      <c r="E129" s="190">
        <f>+'PARTE DIC2021'!F80</f>
        <v>250</v>
      </c>
      <c r="F129" s="190">
        <f>+'PARTE DIC2021'!G80</f>
        <v>0</v>
      </c>
      <c r="G129" s="190">
        <f>+'PARTE DIC2021'!H80</f>
        <v>112</v>
      </c>
      <c r="H129" s="190">
        <f>+'PARTE DIC2021'!I80</f>
        <v>0</v>
      </c>
      <c r="I129" s="190">
        <f>+'PARTE DIC2021'!J80</f>
        <v>112</v>
      </c>
      <c r="J129" s="190">
        <f>+'PARTE DIC2021'!K80</f>
        <v>138</v>
      </c>
      <c r="K129" s="190">
        <f>+'PARTE DIC2021'!L80</f>
        <v>0</v>
      </c>
      <c r="L129" s="190">
        <f>+'PARTE DIC2021'!M80</f>
        <v>138</v>
      </c>
      <c r="M129" s="190">
        <f>+'PARTE DIC2021'!N80</f>
        <v>250</v>
      </c>
      <c r="N129" s="190">
        <f t="shared" si="23"/>
        <v>150</v>
      </c>
      <c r="O129" s="191">
        <f t="shared" si="24"/>
        <v>1.5</v>
      </c>
      <c r="P129" s="45"/>
    </row>
    <row r="130" spans="3:16" ht="27.75" customHeight="1">
      <c r="C130" s="175" t="s">
        <v>159</v>
      </c>
      <c r="D130" s="188">
        <f>+'PARTE DIC2021'!E81</f>
        <v>312</v>
      </c>
      <c r="E130" s="188">
        <f>+'PARTE DIC2021'!F81</f>
        <v>740</v>
      </c>
      <c r="F130" s="188">
        <f>+'PARTE DIC2021'!G81</f>
        <v>63</v>
      </c>
      <c r="G130" s="188">
        <f>+'PARTE DIC2021'!H81</f>
        <v>369</v>
      </c>
      <c r="H130" s="188">
        <f>+'PARTE DIC2021'!I81</f>
        <v>33</v>
      </c>
      <c r="I130" s="188">
        <f>+'PARTE DIC2021'!J81</f>
        <v>402</v>
      </c>
      <c r="J130" s="188">
        <f>+'PARTE DIC2021'!K81</f>
        <v>371</v>
      </c>
      <c r="K130" s="188">
        <f>+'PARTE DIC2021'!L81</f>
        <v>30</v>
      </c>
      <c r="L130" s="188">
        <f>+'PARTE DIC2021'!M81</f>
        <v>401</v>
      </c>
      <c r="M130" s="188">
        <f>+'PARTE DIC2021'!N81</f>
        <v>803</v>
      </c>
      <c r="N130" s="797">
        <f t="shared" si="23"/>
        <v>491</v>
      </c>
      <c r="O130" s="798">
        <f t="shared" si="24"/>
        <v>1.5737179487179489</v>
      </c>
      <c r="P130" s="45"/>
    </row>
    <row r="131" spans="3:16" ht="27.75" customHeight="1">
      <c r="C131" s="176" t="s">
        <v>173</v>
      </c>
      <c r="D131" s="190">
        <f>+'PARTE DIC2021'!E82</f>
        <v>76</v>
      </c>
      <c r="E131" s="190">
        <f>+'PARTE DIC2021'!F82</f>
        <v>75</v>
      </c>
      <c r="F131" s="190">
        <f>+'PARTE DIC2021'!G82</f>
        <v>0</v>
      </c>
      <c r="G131" s="190">
        <f>+'PARTE DIC2021'!H82</f>
        <v>29</v>
      </c>
      <c r="H131" s="190">
        <f>+'PARTE DIC2021'!I82</f>
        <v>0</v>
      </c>
      <c r="I131" s="190">
        <f>+'PARTE DIC2021'!J82</f>
        <v>29</v>
      </c>
      <c r="J131" s="190">
        <f>+'PARTE DIC2021'!K82</f>
        <v>46</v>
      </c>
      <c r="K131" s="190">
        <f>+'PARTE DIC2021'!L82</f>
        <v>0</v>
      </c>
      <c r="L131" s="190">
        <f>+'PARTE DIC2021'!M82</f>
        <v>46</v>
      </c>
      <c r="M131" s="190">
        <f>+'PARTE DIC2021'!N82</f>
        <v>75</v>
      </c>
      <c r="N131" s="799">
        <f t="shared" si="23"/>
        <v>-1</v>
      </c>
      <c r="O131" s="800">
        <f t="shared" si="24"/>
        <v>-1.3157894736842146E-2</v>
      </c>
      <c r="P131" s="45"/>
    </row>
    <row r="132" spans="3:16" ht="27.75" customHeight="1">
      <c r="C132" s="175" t="s">
        <v>191</v>
      </c>
      <c r="D132" s="188">
        <f>+'PARTE DIC2021'!E83</f>
        <v>136</v>
      </c>
      <c r="E132" s="188">
        <f>+'PARTE DIC2021'!F83</f>
        <v>153</v>
      </c>
      <c r="F132" s="188">
        <f>+'PARTE DIC2021'!G83</f>
        <v>16</v>
      </c>
      <c r="G132" s="188">
        <f>+'PARTE DIC2021'!H83</f>
        <v>112</v>
      </c>
      <c r="H132" s="188">
        <f>+'PARTE DIC2021'!I83</f>
        <v>16</v>
      </c>
      <c r="I132" s="188">
        <f>+'PARTE DIC2021'!J83</f>
        <v>128</v>
      </c>
      <c r="J132" s="188">
        <f>+'PARTE DIC2021'!K83</f>
        <v>41</v>
      </c>
      <c r="K132" s="188">
        <f>+'PARTE DIC2021'!L83</f>
        <v>0</v>
      </c>
      <c r="L132" s="188">
        <f>+'PARTE DIC2021'!M83</f>
        <v>41</v>
      </c>
      <c r="M132" s="188">
        <f>+'PARTE DIC2021'!N83</f>
        <v>169</v>
      </c>
      <c r="N132" s="809">
        <f t="shared" si="23"/>
        <v>33</v>
      </c>
      <c r="O132" s="808">
        <f t="shared" si="24"/>
        <v>0.24264705882352944</v>
      </c>
      <c r="P132" s="45"/>
    </row>
    <row r="133" spans="3:16" ht="27.75" customHeight="1">
      <c r="C133" s="176" t="s">
        <v>196</v>
      </c>
      <c r="D133" s="190">
        <f>+'PARTE DIC2021'!E84</f>
        <v>512</v>
      </c>
      <c r="E133" s="190">
        <f>+'PARTE DIC2021'!F84</f>
        <v>431</v>
      </c>
      <c r="F133" s="190">
        <f>+'PARTE DIC2021'!G84</f>
        <v>18</v>
      </c>
      <c r="G133" s="190">
        <f>+'PARTE DIC2021'!H84</f>
        <v>231</v>
      </c>
      <c r="H133" s="190">
        <f>+'PARTE DIC2021'!I84</f>
        <v>11</v>
      </c>
      <c r="I133" s="190">
        <f>+'PARTE DIC2021'!J84</f>
        <v>242</v>
      </c>
      <c r="J133" s="190">
        <f>+'PARTE DIC2021'!K84</f>
        <v>200</v>
      </c>
      <c r="K133" s="190">
        <f>+'PARTE DIC2021'!L84</f>
        <v>7</v>
      </c>
      <c r="L133" s="190">
        <f>+'PARTE DIC2021'!M84</f>
        <v>207</v>
      </c>
      <c r="M133" s="190">
        <f>+'PARTE DIC2021'!N84</f>
        <v>449</v>
      </c>
      <c r="N133" s="799">
        <f t="shared" si="23"/>
        <v>-63</v>
      </c>
      <c r="O133" s="800">
        <f t="shared" si="24"/>
        <v>-0.123046875</v>
      </c>
      <c r="P133" s="45"/>
    </row>
    <row r="134" spans="3:16" ht="27.75" customHeight="1">
      <c r="C134" s="175" t="s">
        <v>211</v>
      </c>
      <c r="D134" s="188">
        <f>+'PARTE DIC2021'!E85</f>
        <v>45</v>
      </c>
      <c r="E134" s="188">
        <f>+'PARTE DIC2021'!F85</f>
        <v>0</v>
      </c>
      <c r="F134" s="188">
        <f>+'PARTE DIC2021'!G85</f>
        <v>0</v>
      </c>
      <c r="G134" s="188">
        <f>+'PARTE DIC2021'!H85</f>
        <v>0</v>
      </c>
      <c r="H134" s="188">
        <f>+'PARTE DIC2021'!I85</f>
        <v>0</v>
      </c>
      <c r="I134" s="188">
        <f>+'PARTE DIC2021'!J85</f>
        <v>0</v>
      </c>
      <c r="J134" s="188">
        <f>+'PARTE DIC2021'!K85</f>
        <v>0</v>
      </c>
      <c r="K134" s="188">
        <f>+'PARTE DIC2021'!L85</f>
        <v>0</v>
      </c>
      <c r="L134" s="188">
        <f>+'PARTE DIC2021'!M85</f>
        <v>0</v>
      </c>
      <c r="M134" s="188">
        <f>+'PARTE DIC2021'!N85</f>
        <v>0</v>
      </c>
      <c r="N134" s="795">
        <f t="shared" si="23"/>
        <v>-45</v>
      </c>
      <c r="O134" s="796">
        <f t="shared" si="24"/>
        <v>-1</v>
      </c>
      <c r="P134" s="45"/>
    </row>
    <row r="135" spans="3:16" ht="27.75" customHeight="1">
      <c r="C135" s="176" t="s">
        <v>156</v>
      </c>
      <c r="D135" s="190">
        <f>+'PARTE DIC2021'!E86</f>
        <v>640</v>
      </c>
      <c r="E135" s="190">
        <f>+'PARTE DIC2021'!F86</f>
        <v>1072</v>
      </c>
      <c r="F135" s="190">
        <f>+'PARTE DIC2021'!G86</f>
        <v>1</v>
      </c>
      <c r="G135" s="190">
        <f>+'PARTE DIC2021'!H86</f>
        <v>530</v>
      </c>
      <c r="H135" s="190">
        <f>+'PARTE DIC2021'!I86</f>
        <v>0</v>
      </c>
      <c r="I135" s="190">
        <f>+'PARTE DIC2021'!J86</f>
        <v>530</v>
      </c>
      <c r="J135" s="190">
        <f>+'PARTE DIC2021'!K86</f>
        <v>542</v>
      </c>
      <c r="K135" s="190">
        <f>+'PARTE DIC2021'!L86</f>
        <v>1</v>
      </c>
      <c r="L135" s="190">
        <f>+'PARTE DIC2021'!M86</f>
        <v>543</v>
      </c>
      <c r="M135" s="190">
        <f>+'PARTE DIC2021'!N86</f>
        <v>1073</v>
      </c>
      <c r="N135" s="190">
        <f t="shared" si="23"/>
        <v>433</v>
      </c>
      <c r="O135" s="191">
        <f t="shared" si="24"/>
        <v>0.67656249999999996</v>
      </c>
      <c r="P135" s="45"/>
    </row>
    <row r="136" spans="3:16" ht="27.75" customHeight="1">
      <c r="C136" s="175" t="s">
        <v>225</v>
      </c>
      <c r="D136" s="188">
        <f>+'PARTE DIC2021'!E87</f>
        <v>1452</v>
      </c>
      <c r="E136" s="188">
        <f>+'PARTE DIC2021'!F87</f>
        <v>1596</v>
      </c>
      <c r="F136" s="188">
        <f>+'PARTE DIC2021'!G87</f>
        <v>0</v>
      </c>
      <c r="G136" s="188">
        <f>+'PARTE DIC2021'!H87</f>
        <v>426</v>
      </c>
      <c r="H136" s="188">
        <f>+'PARTE DIC2021'!I87</f>
        <v>0</v>
      </c>
      <c r="I136" s="188">
        <f>+'PARTE DIC2021'!J87</f>
        <v>426</v>
      </c>
      <c r="J136" s="188">
        <f>+'PARTE DIC2021'!K87</f>
        <v>1170</v>
      </c>
      <c r="K136" s="188">
        <f>+'PARTE DIC2021'!L87</f>
        <v>0</v>
      </c>
      <c r="L136" s="188">
        <f>+'PARTE DIC2021'!M87</f>
        <v>1170</v>
      </c>
      <c r="M136" s="188">
        <f>+'PARTE DIC2021'!N87</f>
        <v>1596</v>
      </c>
      <c r="N136" s="797">
        <f t="shared" si="23"/>
        <v>144</v>
      </c>
      <c r="O136" s="798">
        <f t="shared" si="24"/>
        <v>9.9173553719008156E-2</v>
      </c>
      <c r="P136" s="45"/>
    </row>
    <row r="137" spans="3:16" ht="27.75" customHeight="1">
      <c r="C137" s="176" t="s">
        <v>160</v>
      </c>
      <c r="D137" s="190">
        <f>+'PARTE DIC2021'!E88</f>
        <v>203</v>
      </c>
      <c r="E137" s="190">
        <f>+'PARTE DIC2021'!F88</f>
        <v>149</v>
      </c>
      <c r="F137" s="190">
        <f>+'PARTE DIC2021'!G88</f>
        <v>0</v>
      </c>
      <c r="G137" s="190">
        <f>+'PARTE DIC2021'!H88</f>
        <v>4</v>
      </c>
      <c r="H137" s="190">
        <f>+'PARTE DIC2021'!I88</f>
        <v>0</v>
      </c>
      <c r="I137" s="190">
        <f>+'PARTE DIC2021'!J88</f>
        <v>4</v>
      </c>
      <c r="J137" s="190">
        <f>+'PARTE DIC2021'!K88</f>
        <v>145</v>
      </c>
      <c r="K137" s="190">
        <f>+'PARTE DIC2021'!L88</f>
        <v>0</v>
      </c>
      <c r="L137" s="190">
        <f>+'PARTE DIC2021'!M88</f>
        <v>145</v>
      </c>
      <c r="M137" s="190">
        <f>+'PARTE DIC2021'!N88</f>
        <v>149</v>
      </c>
      <c r="N137" s="795">
        <f t="shared" si="23"/>
        <v>-54</v>
      </c>
      <c r="O137" s="796">
        <f t="shared" si="24"/>
        <v>-0.26600985221674878</v>
      </c>
      <c r="P137" s="45"/>
    </row>
    <row r="138" spans="3:16" s="597" customFormat="1" ht="33.75" customHeight="1">
      <c r="C138" s="599" t="s">
        <v>82</v>
      </c>
      <c r="D138" s="600">
        <f t="shared" ref="D138:N138" si="25">SUM(D123:D137)</f>
        <v>6612</v>
      </c>
      <c r="E138" s="600">
        <f t="shared" si="25"/>
        <v>8458</v>
      </c>
      <c r="F138" s="600">
        <f t="shared" si="25"/>
        <v>276</v>
      </c>
      <c r="G138" s="600">
        <f t="shared" si="25"/>
        <v>3820</v>
      </c>
      <c r="H138" s="600">
        <f t="shared" si="25"/>
        <v>151</v>
      </c>
      <c r="I138" s="600">
        <f t="shared" si="25"/>
        <v>3971</v>
      </c>
      <c r="J138" s="600">
        <f t="shared" si="25"/>
        <v>4638</v>
      </c>
      <c r="K138" s="600">
        <f t="shared" si="25"/>
        <v>125</v>
      </c>
      <c r="L138" s="600">
        <f t="shared" si="25"/>
        <v>4763</v>
      </c>
      <c r="M138" s="600">
        <f t="shared" si="25"/>
        <v>8734</v>
      </c>
      <c r="N138" s="600">
        <f t="shared" si="25"/>
        <v>2122</v>
      </c>
      <c r="O138" s="601">
        <f>+M138*1/D138-1</f>
        <v>0.32093163944343628</v>
      </c>
      <c r="P138" s="602"/>
    </row>
    <row r="139" spans="3:16" s="597" customFormat="1" ht="33.75" customHeight="1" thickBot="1">
      <c r="C139" s="603" t="s">
        <v>117</v>
      </c>
      <c r="D139" s="604">
        <f t="shared" ref="D139:N139" si="26">+D138/D$15</f>
        <v>8.2209153414813066E-2</v>
      </c>
      <c r="E139" s="604">
        <f t="shared" si="26"/>
        <v>9.3726798240267722E-2</v>
      </c>
      <c r="F139" s="604">
        <f t="shared" si="26"/>
        <v>4.1366906474820143E-2</v>
      </c>
      <c r="G139" s="604">
        <f t="shared" si="26"/>
        <v>0.16600034764470711</v>
      </c>
      <c r="H139" s="604">
        <f t="shared" si="26"/>
        <v>5.8459156020131631E-2</v>
      </c>
      <c r="I139" s="604">
        <f t="shared" si="26"/>
        <v>0.15514748974409065</v>
      </c>
      <c r="J139" s="604">
        <f t="shared" si="26"/>
        <v>6.8988085498817478E-2</v>
      </c>
      <c r="K139" s="604">
        <f t="shared" si="26"/>
        <v>3.0569821472242603E-2</v>
      </c>
      <c r="L139" s="604">
        <f t="shared" si="26"/>
        <v>6.6785383774082274E-2</v>
      </c>
      <c r="M139" s="604">
        <f t="shared" si="26"/>
        <v>9.0122068246778042E-2</v>
      </c>
      <c r="N139" s="604">
        <f t="shared" si="26"/>
        <v>0.12873089056054357</v>
      </c>
      <c r="O139" s="605">
        <f>+O138/$R$25</f>
        <v>0.23201476042817656</v>
      </c>
      <c r="P139" s="602"/>
    </row>
    <row r="140" spans="3:16" ht="30" customHeight="1">
      <c r="C140" s="50" t="s">
        <v>78</v>
      </c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4"/>
      <c r="P140" s="45"/>
    </row>
    <row r="141" spans="3:16">
      <c r="C141" s="2037"/>
      <c r="D141" s="2037"/>
      <c r="E141" s="2037"/>
      <c r="F141" s="2037"/>
      <c r="G141" s="2037"/>
      <c r="H141" s="2037"/>
      <c r="I141" s="2037"/>
      <c r="J141" s="2037"/>
      <c r="K141" s="2037"/>
      <c r="L141" s="2037"/>
    </row>
    <row r="142" spans="3:16" ht="15.75">
      <c r="C142" s="2028" t="s">
        <v>732</v>
      </c>
      <c r="D142" s="2028"/>
      <c r="E142" s="2028"/>
      <c r="F142" s="2028"/>
      <c r="G142" s="2028"/>
      <c r="H142" s="2028"/>
      <c r="I142" s="2028"/>
      <c r="J142" s="2028"/>
      <c r="K142" s="2028"/>
      <c r="L142" s="2028"/>
      <c r="M142" s="2028"/>
      <c r="N142" s="2028"/>
      <c r="O142" s="2028"/>
      <c r="P142" s="2028"/>
    </row>
    <row r="143" spans="3:16" ht="13.5" thickBot="1">
      <c r="C143" s="49"/>
      <c r="D143" s="38"/>
      <c r="E143" s="39"/>
      <c r="F143" s="38"/>
      <c r="G143" s="38"/>
      <c r="H143" s="38"/>
      <c r="I143" s="39" t="s">
        <v>51</v>
      </c>
      <c r="M143" s="40"/>
    </row>
    <row r="144" spans="3:16" s="597" customFormat="1" ht="53.25" customHeight="1">
      <c r="C144" s="2029" t="s">
        <v>57</v>
      </c>
      <c r="D144" s="2019" t="s">
        <v>87</v>
      </c>
      <c r="E144" s="2032" t="s">
        <v>402</v>
      </c>
      <c r="F144" s="2032"/>
      <c r="G144" s="2032" t="s">
        <v>235</v>
      </c>
      <c r="H144" s="2032"/>
      <c r="I144" s="2032"/>
      <c r="J144" s="2032"/>
      <c r="K144" s="2032"/>
      <c r="L144" s="2032"/>
      <c r="M144" s="2019" t="s">
        <v>403</v>
      </c>
      <c r="N144" s="2022" t="s">
        <v>401</v>
      </c>
      <c r="O144" s="2025" t="s">
        <v>404</v>
      </c>
      <c r="P144" s="41"/>
    </row>
    <row r="145" spans="3:28" s="597" customFormat="1" ht="53.25" customHeight="1">
      <c r="C145" s="2030"/>
      <c r="D145" s="2020"/>
      <c r="E145" s="2033"/>
      <c r="F145" s="2033"/>
      <c r="G145" s="2034" t="s">
        <v>74</v>
      </c>
      <c r="H145" s="2034"/>
      <c r="I145" s="2023" t="s">
        <v>75</v>
      </c>
      <c r="J145" s="2034" t="s">
        <v>76</v>
      </c>
      <c r="K145" s="2034"/>
      <c r="L145" s="2023" t="s">
        <v>75</v>
      </c>
      <c r="M145" s="2020"/>
      <c r="N145" s="2023"/>
      <c r="O145" s="2026"/>
      <c r="P145" s="41"/>
    </row>
    <row r="146" spans="3:28" s="597" customFormat="1" ht="53.25" customHeight="1">
      <c r="C146" s="2031"/>
      <c r="D146" s="2021"/>
      <c r="E146" s="607" t="s">
        <v>44</v>
      </c>
      <c r="F146" s="607" t="s">
        <v>45</v>
      </c>
      <c r="G146" s="607" t="s">
        <v>44</v>
      </c>
      <c r="H146" s="607" t="s">
        <v>45</v>
      </c>
      <c r="I146" s="2024"/>
      <c r="J146" s="607" t="s">
        <v>44</v>
      </c>
      <c r="K146" s="607" t="s">
        <v>45</v>
      </c>
      <c r="L146" s="2024"/>
      <c r="M146" s="2021"/>
      <c r="N146" s="2024"/>
      <c r="O146" s="2027"/>
      <c r="P146" s="116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  <c r="AA146" s="117"/>
      <c r="AB146" s="117"/>
    </row>
    <row r="147" spans="3:28" ht="27.75" customHeight="1">
      <c r="C147" s="176" t="s">
        <v>105</v>
      </c>
      <c r="D147" s="190">
        <f>+'PARTE DIC2021'!E89</f>
        <v>212</v>
      </c>
      <c r="E147" s="190">
        <f>+'PARTE DIC2021'!F89</f>
        <v>297</v>
      </c>
      <c r="F147" s="190">
        <f>+'PARTE DIC2021'!G89</f>
        <v>37</v>
      </c>
      <c r="G147" s="190">
        <f>+'PARTE DIC2021'!H89</f>
        <v>157</v>
      </c>
      <c r="H147" s="190">
        <f>+'PARTE DIC2021'!I89</f>
        <v>26</v>
      </c>
      <c r="I147" s="190">
        <f>+'PARTE DIC2021'!J89</f>
        <v>183</v>
      </c>
      <c r="J147" s="190">
        <f>+'PARTE DIC2021'!K89</f>
        <v>140</v>
      </c>
      <c r="K147" s="190">
        <f>+'PARTE DIC2021'!L89</f>
        <v>11</v>
      </c>
      <c r="L147" s="190">
        <f>+'PARTE DIC2021'!M89</f>
        <v>151</v>
      </c>
      <c r="M147" s="190">
        <f>+'PARTE DIC2021'!N89</f>
        <v>334</v>
      </c>
      <c r="N147" s="190">
        <f t="shared" ref="N147:N160" si="27">+M147-D147</f>
        <v>122</v>
      </c>
      <c r="O147" s="191">
        <f>+M147*1/D147-1</f>
        <v>0.57547169811320753</v>
      </c>
      <c r="P147" s="45"/>
    </row>
    <row r="148" spans="3:28" ht="27.75" customHeight="1">
      <c r="C148" s="175" t="s">
        <v>111</v>
      </c>
      <c r="D148" s="188">
        <f>+'PARTE DIC2021'!E90</f>
        <v>78</v>
      </c>
      <c r="E148" s="188">
        <f>+'PARTE DIC2021'!F90</f>
        <v>154</v>
      </c>
      <c r="F148" s="188">
        <f>+'PARTE DIC2021'!G90</f>
        <v>0</v>
      </c>
      <c r="G148" s="188">
        <f>+'PARTE DIC2021'!H90</f>
        <v>19</v>
      </c>
      <c r="H148" s="188">
        <f>+'PARTE DIC2021'!I90</f>
        <v>0</v>
      </c>
      <c r="I148" s="188">
        <f>+'PARTE DIC2021'!J90</f>
        <v>19</v>
      </c>
      <c r="J148" s="188">
        <f>+'PARTE DIC2021'!K90</f>
        <v>135</v>
      </c>
      <c r="K148" s="188">
        <f>+'PARTE DIC2021'!L90</f>
        <v>0</v>
      </c>
      <c r="L148" s="188">
        <f>+'PARTE DIC2021'!M90</f>
        <v>135</v>
      </c>
      <c r="M148" s="188">
        <f>+'PARTE DIC2021'!N90</f>
        <v>154</v>
      </c>
      <c r="N148" s="188">
        <f t="shared" si="27"/>
        <v>76</v>
      </c>
      <c r="O148" s="189">
        <f t="shared" ref="O148:O160" si="28">+M148*1/D148-1</f>
        <v>0.97435897435897445</v>
      </c>
      <c r="P148" s="45"/>
    </row>
    <row r="149" spans="3:28" ht="27.75" customHeight="1">
      <c r="C149" s="176" t="s">
        <v>114</v>
      </c>
      <c r="D149" s="190">
        <f>+'PARTE DIC2021'!E91</f>
        <v>280</v>
      </c>
      <c r="E149" s="190">
        <f>+'PARTE DIC2021'!F91</f>
        <v>303</v>
      </c>
      <c r="F149" s="190">
        <f>+'PARTE DIC2021'!G91</f>
        <v>0</v>
      </c>
      <c r="G149" s="190">
        <f>+'PARTE DIC2021'!H91</f>
        <v>55</v>
      </c>
      <c r="H149" s="190">
        <f>+'PARTE DIC2021'!I91</f>
        <v>0</v>
      </c>
      <c r="I149" s="190">
        <f>+'PARTE DIC2021'!J91</f>
        <v>55</v>
      </c>
      <c r="J149" s="190">
        <f>+'PARTE DIC2021'!K91</f>
        <v>248</v>
      </c>
      <c r="K149" s="190">
        <f>+'PARTE DIC2021'!L91</f>
        <v>0</v>
      </c>
      <c r="L149" s="190">
        <f>+'PARTE DIC2021'!M91</f>
        <v>248</v>
      </c>
      <c r="M149" s="190">
        <f>+'PARTE DIC2021'!N91</f>
        <v>303</v>
      </c>
      <c r="N149" s="190">
        <f t="shared" si="27"/>
        <v>23</v>
      </c>
      <c r="O149" s="191">
        <f t="shared" si="28"/>
        <v>8.2142857142857073E-2</v>
      </c>
      <c r="P149" s="45"/>
    </row>
    <row r="150" spans="3:28" ht="27.75" customHeight="1">
      <c r="C150" s="175" t="s">
        <v>115</v>
      </c>
      <c r="D150" s="188">
        <f>+'PARTE DIC2021'!E92</f>
        <v>198</v>
      </c>
      <c r="E150" s="188">
        <f>+'PARTE DIC2021'!F92</f>
        <v>350</v>
      </c>
      <c r="F150" s="188">
        <f>+'PARTE DIC2021'!G92</f>
        <v>15</v>
      </c>
      <c r="G150" s="188">
        <f>+'PARTE DIC2021'!H92</f>
        <v>192</v>
      </c>
      <c r="H150" s="188">
        <f>+'PARTE DIC2021'!I92</f>
        <v>10</v>
      </c>
      <c r="I150" s="188">
        <f>+'PARTE DIC2021'!J92</f>
        <v>202</v>
      </c>
      <c r="J150" s="188">
        <f>+'PARTE DIC2021'!K92</f>
        <v>158</v>
      </c>
      <c r="K150" s="188">
        <f>+'PARTE DIC2021'!L92</f>
        <v>5</v>
      </c>
      <c r="L150" s="188">
        <f>+'PARTE DIC2021'!M92</f>
        <v>163</v>
      </c>
      <c r="M150" s="188">
        <f>+'PARTE DIC2021'!N92</f>
        <v>365</v>
      </c>
      <c r="N150" s="188">
        <f t="shared" si="27"/>
        <v>167</v>
      </c>
      <c r="O150" s="189">
        <f t="shared" si="28"/>
        <v>0.84343434343434343</v>
      </c>
      <c r="P150" s="45"/>
    </row>
    <row r="151" spans="3:28" ht="27.75" customHeight="1">
      <c r="C151" s="176" t="s">
        <v>224</v>
      </c>
      <c r="D151" s="190">
        <f>+'PARTE DIC2021'!E93</f>
        <v>1520</v>
      </c>
      <c r="E151" s="190">
        <f>+'PARTE DIC2021'!F93</f>
        <v>1609</v>
      </c>
      <c r="F151" s="190">
        <f>+'PARTE DIC2021'!G93</f>
        <v>0</v>
      </c>
      <c r="G151" s="190">
        <f>+'PARTE DIC2021'!H93</f>
        <v>408</v>
      </c>
      <c r="H151" s="190">
        <f>+'PARTE DIC2021'!I93</f>
        <v>0</v>
      </c>
      <c r="I151" s="190">
        <f>+'PARTE DIC2021'!J93</f>
        <v>408</v>
      </c>
      <c r="J151" s="190">
        <f>+'PARTE DIC2021'!K93</f>
        <v>1201</v>
      </c>
      <c r="K151" s="190">
        <f>+'PARTE DIC2021'!L93</f>
        <v>0</v>
      </c>
      <c r="L151" s="190">
        <f>+'PARTE DIC2021'!M93</f>
        <v>1201</v>
      </c>
      <c r="M151" s="190">
        <f>+'PARTE DIC2021'!N93</f>
        <v>1609</v>
      </c>
      <c r="N151" s="190">
        <f t="shared" si="27"/>
        <v>89</v>
      </c>
      <c r="O151" s="191">
        <f t="shared" si="28"/>
        <v>5.8552631578947301E-2</v>
      </c>
      <c r="P151" s="45"/>
    </row>
    <row r="152" spans="3:28" ht="27.75" customHeight="1">
      <c r="C152" s="175" t="s">
        <v>106</v>
      </c>
      <c r="D152" s="188">
        <f>+'PARTE DIC2021'!E94</f>
        <v>185</v>
      </c>
      <c r="E152" s="188">
        <f>+'PARTE DIC2021'!F94</f>
        <v>203</v>
      </c>
      <c r="F152" s="188">
        <f>+'PARTE DIC2021'!G94</f>
        <v>0</v>
      </c>
      <c r="G152" s="188">
        <f>+'PARTE DIC2021'!H94</f>
        <v>30</v>
      </c>
      <c r="H152" s="188">
        <f>+'PARTE DIC2021'!I94</f>
        <v>0</v>
      </c>
      <c r="I152" s="188">
        <f>+'PARTE DIC2021'!J94</f>
        <v>30</v>
      </c>
      <c r="J152" s="188">
        <f>+'PARTE DIC2021'!K94</f>
        <v>173</v>
      </c>
      <c r="K152" s="188">
        <f>+'PARTE DIC2021'!L94</f>
        <v>0</v>
      </c>
      <c r="L152" s="188">
        <f>+'PARTE DIC2021'!M94</f>
        <v>173</v>
      </c>
      <c r="M152" s="188">
        <f>+'PARTE DIC2021'!N94</f>
        <v>203</v>
      </c>
      <c r="N152" s="188">
        <f t="shared" si="27"/>
        <v>18</v>
      </c>
      <c r="O152" s="189">
        <f t="shared" si="28"/>
        <v>9.7297297297297192E-2</v>
      </c>
      <c r="P152" s="45"/>
    </row>
    <row r="153" spans="3:28" ht="27.75" customHeight="1">
      <c r="C153" s="176" t="s">
        <v>107</v>
      </c>
      <c r="D153" s="190">
        <f>+'PARTE DIC2021'!E95</f>
        <v>60</v>
      </c>
      <c r="E153" s="190">
        <f>+'PARTE DIC2021'!F95</f>
        <v>86</v>
      </c>
      <c r="F153" s="190">
        <f>+'PARTE DIC2021'!G95</f>
        <v>0</v>
      </c>
      <c r="G153" s="190">
        <f>+'PARTE DIC2021'!H95</f>
        <v>24</v>
      </c>
      <c r="H153" s="190">
        <f>+'PARTE DIC2021'!I95</f>
        <v>0</v>
      </c>
      <c r="I153" s="190">
        <f>+'PARTE DIC2021'!J95</f>
        <v>24</v>
      </c>
      <c r="J153" s="190">
        <f>+'PARTE DIC2021'!K95</f>
        <v>62</v>
      </c>
      <c r="K153" s="190">
        <f>+'PARTE DIC2021'!L95</f>
        <v>0</v>
      </c>
      <c r="L153" s="190">
        <f>+'PARTE DIC2021'!M95</f>
        <v>62</v>
      </c>
      <c r="M153" s="190">
        <f>+'PARTE DIC2021'!N95</f>
        <v>86</v>
      </c>
      <c r="N153" s="190">
        <f t="shared" si="27"/>
        <v>26</v>
      </c>
      <c r="O153" s="191">
        <f t="shared" si="28"/>
        <v>0.43333333333333335</v>
      </c>
      <c r="P153" s="45"/>
    </row>
    <row r="154" spans="3:28" ht="27.75" customHeight="1">
      <c r="C154" s="175" t="s">
        <v>112</v>
      </c>
      <c r="D154" s="188">
        <f>+'PARTE DIC2021'!E96</f>
        <v>262</v>
      </c>
      <c r="E154" s="188">
        <f>+'PARTE DIC2021'!F96</f>
        <v>296</v>
      </c>
      <c r="F154" s="188">
        <f>+'PARTE DIC2021'!G96</f>
        <v>0</v>
      </c>
      <c r="G154" s="188">
        <f>+'PARTE DIC2021'!H96</f>
        <v>0</v>
      </c>
      <c r="H154" s="188">
        <f>+'PARTE DIC2021'!I96</f>
        <v>0</v>
      </c>
      <c r="I154" s="188">
        <f>+'PARTE DIC2021'!J96</f>
        <v>0</v>
      </c>
      <c r="J154" s="188">
        <f>+'PARTE DIC2021'!K96</f>
        <v>296</v>
      </c>
      <c r="K154" s="188">
        <f>+'PARTE DIC2021'!L96</f>
        <v>0</v>
      </c>
      <c r="L154" s="188">
        <f>+'PARTE DIC2021'!M96</f>
        <v>296</v>
      </c>
      <c r="M154" s="188">
        <f>+'PARTE DIC2021'!N96</f>
        <v>296</v>
      </c>
      <c r="N154" s="188">
        <f t="shared" si="27"/>
        <v>34</v>
      </c>
      <c r="O154" s="189">
        <f t="shared" si="28"/>
        <v>0.12977099236641232</v>
      </c>
      <c r="P154" s="45"/>
    </row>
    <row r="155" spans="3:28" ht="27.75" customHeight="1">
      <c r="C155" s="176" t="s">
        <v>113</v>
      </c>
      <c r="D155" s="190">
        <f>+'PARTE DIC2021'!E97</f>
        <v>318</v>
      </c>
      <c r="E155" s="190">
        <f>+'PARTE DIC2021'!F97</f>
        <v>491</v>
      </c>
      <c r="F155" s="190">
        <f>+'PARTE DIC2021'!G97</f>
        <v>0</v>
      </c>
      <c r="G155" s="190">
        <f>+'PARTE DIC2021'!H97</f>
        <v>98</v>
      </c>
      <c r="H155" s="190">
        <f>+'PARTE DIC2021'!I97</f>
        <v>0</v>
      </c>
      <c r="I155" s="190">
        <f>+'PARTE DIC2021'!J97</f>
        <v>98</v>
      </c>
      <c r="J155" s="190">
        <f>+'PARTE DIC2021'!K97</f>
        <v>393</v>
      </c>
      <c r="K155" s="190">
        <f>+'PARTE DIC2021'!L97</f>
        <v>0</v>
      </c>
      <c r="L155" s="190">
        <f>+'PARTE DIC2021'!M97</f>
        <v>393</v>
      </c>
      <c r="M155" s="190">
        <f>+'PARTE DIC2021'!N97</f>
        <v>491</v>
      </c>
      <c r="N155" s="190">
        <f t="shared" si="27"/>
        <v>173</v>
      </c>
      <c r="O155" s="191">
        <f t="shared" si="28"/>
        <v>0.54402515723270439</v>
      </c>
      <c r="P155" s="45"/>
    </row>
    <row r="156" spans="3:28" ht="27.75" customHeight="1">
      <c r="C156" s="175" t="s">
        <v>124</v>
      </c>
      <c r="D156" s="188">
        <f>+'PARTE DIC2021'!E98</f>
        <v>56</v>
      </c>
      <c r="E156" s="188">
        <f>+'PARTE DIC2021'!F98</f>
        <v>58</v>
      </c>
      <c r="F156" s="188">
        <f>+'PARTE DIC2021'!G98</f>
        <v>0</v>
      </c>
      <c r="G156" s="188">
        <f>+'PARTE DIC2021'!H98</f>
        <v>27</v>
      </c>
      <c r="H156" s="188">
        <f>+'PARTE DIC2021'!I98</f>
        <v>0</v>
      </c>
      <c r="I156" s="188">
        <f>+'PARTE DIC2021'!J98</f>
        <v>27</v>
      </c>
      <c r="J156" s="188">
        <f>+'PARTE DIC2021'!K98</f>
        <v>31</v>
      </c>
      <c r="K156" s="188">
        <f>+'PARTE DIC2021'!L98</f>
        <v>0</v>
      </c>
      <c r="L156" s="188">
        <f>+'PARTE DIC2021'!M98</f>
        <v>31</v>
      </c>
      <c r="M156" s="188">
        <f>+'PARTE DIC2021'!N98</f>
        <v>58</v>
      </c>
      <c r="N156" s="188">
        <f t="shared" si="27"/>
        <v>2</v>
      </c>
      <c r="O156" s="189">
        <f t="shared" si="28"/>
        <v>3.5714285714285809E-2</v>
      </c>
      <c r="P156" s="45"/>
    </row>
    <row r="157" spans="3:28" ht="27.75" customHeight="1">
      <c r="C157" s="176" t="s">
        <v>116</v>
      </c>
      <c r="D157" s="190">
        <f>+'PARTE DIC2021'!E99</f>
        <v>192</v>
      </c>
      <c r="E157" s="190">
        <f>+'PARTE DIC2021'!F99</f>
        <v>253</v>
      </c>
      <c r="F157" s="190">
        <f>+'PARTE DIC2021'!G99</f>
        <v>0</v>
      </c>
      <c r="G157" s="190">
        <f>+'PARTE DIC2021'!H99</f>
        <v>88</v>
      </c>
      <c r="H157" s="190">
        <f>+'PARTE DIC2021'!I99</f>
        <v>0</v>
      </c>
      <c r="I157" s="190">
        <f>+'PARTE DIC2021'!J99</f>
        <v>88</v>
      </c>
      <c r="J157" s="190">
        <f>+'PARTE DIC2021'!K99</f>
        <v>165</v>
      </c>
      <c r="K157" s="190">
        <f>+'PARTE DIC2021'!L99</f>
        <v>0</v>
      </c>
      <c r="L157" s="190">
        <f>+'PARTE DIC2021'!M99</f>
        <v>165</v>
      </c>
      <c r="M157" s="190">
        <f>+'PARTE DIC2021'!N99</f>
        <v>253</v>
      </c>
      <c r="N157" s="190">
        <f t="shared" si="27"/>
        <v>61</v>
      </c>
      <c r="O157" s="191">
        <f t="shared" si="28"/>
        <v>0.31770833333333326</v>
      </c>
      <c r="P157" s="45"/>
    </row>
    <row r="158" spans="3:28" ht="27.75" customHeight="1">
      <c r="C158" s="175" t="s">
        <v>108</v>
      </c>
      <c r="D158" s="188">
        <f>+'PARTE DIC2021'!E100</f>
        <v>247</v>
      </c>
      <c r="E158" s="188">
        <f>+'PARTE DIC2021'!F100</f>
        <v>0</v>
      </c>
      <c r="F158" s="188">
        <f>+'PARTE DIC2021'!G100</f>
        <v>232</v>
      </c>
      <c r="G158" s="188">
        <f>+'PARTE DIC2021'!H100</f>
        <v>0</v>
      </c>
      <c r="H158" s="188">
        <f>+'PARTE DIC2021'!I100</f>
        <v>97</v>
      </c>
      <c r="I158" s="188">
        <f>+'PARTE DIC2021'!J100</f>
        <v>97</v>
      </c>
      <c r="J158" s="188">
        <f>+'PARTE DIC2021'!K100</f>
        <v>0</v>
      </c>
      <c r="K158" s="188">
        <f>+'PARTE DIC2021'!L100</f>
        <v>135</v>
      </c>
      <c r="L158" s="188">
        <f>+'PARTE DIC2021'!M100</f>
        <v>135</v>
      </c>
      <c r="M158" s="188">
        <f>+'PARTE DIC2021'!N100</f>
        <v>232</v>
      </c>
      <c r="N158" s="1301">
        <f t="shared" si="27"/>
        <v>-15</v>
      </c>
      <c r="O158" s="1302">
        <f t="shared" si="28"/>
        <v>-6.0728744939271273E-2</v>
      </c>
      <c r="P158" s="45"/>
    </row>
    <row r="159" spans="3:28" ht="27.75" customHeight="1">
      <c r="C159" s="176" t="s">
        <v>109</v>
      </c>
      <c r="D159" s="190">
        <f>+'PARTE DIC2021'!E101</f>
        <v>2424</v>
      </c>
      <c r="E159" s="190">
        <f>+'PARTE DIC2021'!F101</f>
        <v>2148</v>
      </c>
      <c r="F159" s="190">
        <f>+'PARTE DIC2021'!G101</f>
        <v>0</v>
      </c>
      <c r="G159" s="190">
        <f>+'PARTE DIC2021'!H101</f>
        <v>177</v>
      </c>
      <c r="H159" s="190">
        <f>+'PARTE DIC2021'!I101</f>
        <v>0</v>
      </c>
      <c r="I159" s="190">
        <f>+'PARTE DIC2021'!J101</f>
        <v>177</v>
      </c>
      <c r="J159" s="190">
        <f>+'PARTE DIC2021'!K101</f>
        <v>1971</v>
      </c>
      <c r="K159" s="190">
        <f>+'PARTE DIC2021'!L101</f>
        <v>0</v>
      </c>
      <c r="L159" s="190">
        <f>+'PARTE DIC2021'!M101</f>
        <v>1971</v>
      </c>
      <c r="M159" s="190">
        <f>+'PARTE DIC2021'!N101</f>
        <v>2148</v>
      </c>
      <c r="N159" s="1301">
        <f t="shared" si="27"/>
        <v>-276</v>
      </c>
      <c r="O159" s="1302">
        <f t="shared" si="28"/>
        <v>-0.11386138613861385</v>
      </c>
      <c r="P159" s="45"/>
    </row>
    <row r="160" spans="3:28" ht="27.75" customHeight="1">
      <c r="C160" s="175" t="s">
        <v>110</v>
      </c>
      <c r="D160" s="188">
        <f>+'PARTE DIC2021'!E102</f>
        <v>2636</v>
      </c>
      <c r="E160" s="188">
        <f>+'PARTE DIC2021'!F102</f>
        <v>2924</v>
      </c>
      <c r="F160" s="188">
        <f>+'PARTE DIC2021'!G102</f>
        <v>375</v>
      </c>
      <c r="G160" s="188">
        <f>+'PARTE DIC2021'!H102</f>
        <v>1167</v>
      </c>
      <c r="H160" s="188">
        <f>+'PARTE DIC2021'!I102</f>
        <v>163</v>
      </c>
      <c r="I160" s="188">
        <f>+'PARTE DIC2021'!J102</f>
        <v>1330</v>
      </c>
      <c r="J160" s="188">
        <f>+'PARTE DIC2021'!K102</f>
        <v>1757</v>
      </c>
      <c r="K160" s="188">
        <f>+'PARTE DIC2021'!L102</f>
        <v>212</v>
      </c>
      <c r="L160" s="188">
        <f>+'PARTE DIC2021'!M102</f>
        <v>1969</v>
      </c>
      <c r="M160" s="188">
        <f>+'PARTE DIC2021'!N102</f>
        <v>3299</v>
      </c>
      <c r="N160" s="188">
        <f t="shared" si="27"/>
        <v>663</v>
      </c>
      <c r="O160" s="189">
        <f t="shared" si="28"/>
        <v>0.25151745068285281</v>
      </c>
      <c r="P160" s="45"/>
    </row>
    <row r="161" spans="3:16" s="597" customFormat="1" ht="33.75" customHeight="1">
      <c r="C161" s="599" t="s">
        <v>83</v>
      </c>
      <c r="D161" s="600">
        <f>SUM(D147:D160)</f>
        <v>8668</v>
      </c>
      <c r="E161" s="600">
        <f>SUM(E147:E160)</f>
        <v>9172</v>
      </c>
      <c r="F161" s="600">
        <f t="shared" ref="F161:N161" si="29">SUM(F147:F160)</f>
        <v>659</v>
      </c>
      <c r="G161" s="600">
        <f t="shared" si="29"/>
        <v>2442</v>
      </c>
      <c r="H161" s="600">
        <f t="shared" si="29"/>
        <v>296</v>
      </c>
      <c r="I161" s="600">
        <f t="shared" si="29"/>
        <v>2738</v>
      </c>
      <c r="J161" s="600">
        <f t="shared" si="29"/>
        <v>6730</v>
      </c>
      <c r="K161" s="600">
        <f t="shared" si="29"/>
        <v>363</v>
      </c>
      <c r="L161" s="600">
        <f t="shared" si="29"/>
        <v>7093</v>
      </c>
      <c r="M161" s="600">
        <f t="shared" si="29"/>
        <v>9831</v>
      </c>
      <c r="N161" s="600">
        <f t="shared" si="29"/>
        <v>1163</v>
      </c>
      <c r="O161" s="601">
        <f>+M161*1/D161-1</f>
        <v>0.13417166589755425</v>
      </c>
      <c r="P161" s="602"/>
    </row>
    <row r="162" spans="3:16" s="597" customFormat="1" ht="33.75" customHeight="1" thickBot="1">
      <c r="C162" s="603" t="s">
        <v>117</v>
      </c>
      <c r="D162" s="604">
        <f t="shared" ref="D162:N162" si="30">+D161/D$15</f>
        <v>0.10777207226249239</v>
      </c>
      <c r="E162" s="604">
        <f t="shared" si="30"/>
        <v>0.10163894460389401</v>
      </c>
      <c r="F162" s="604">
        <f t="shared" si="30"/>
        <v>9.8770983213429253E-2</v>
      </c>
      <c r="G162" s="604">
        <f t="shared" si="30"/>
        <v>0.10611854684512428</v>
      </c>
      <c r="H162" s="604">
        <f t="shared" si="30"/>
        <v>0.11459543166860241</v>
      </c>
      <c r="I162" s="604">
        <f t="shared" si="30"/>
        <v>0.10697401836296151</v>
      </c>
      <c r="J162" s="604">
        <f t="shared" si="30"/>
        <v>0.10010560918651178</v>
      </c>
      <c r="K162" s="604">
        <f t="shared" si="30"/>
        <v>8.8774761555392517E-2</v>
      </c>
      <c r="L162" s="604">
        <f t="shared" si="30"/>
        <v>9.9455957822709551E-2</v>
      </c>
      <c r="M162" s="604">
        <f t="shared" si="30"/>
        <v>0.10144149907649129</v>
      </c>
      <c r="N162" s="604">
        <f t="shared" si="30"/>
        <v>7.0553263770929381E-2</v>
      </c>
      <c r="O162" s="605">
        <f>+O161/$R$25</f>
        <v>9.6998248516276253E-2</v>
      </c>
      <c r="P162" s="602"/>
    </row>
    <row r="163" spans="3:16" ht="30" customHeight="1">
      <c r="C163" s="50" t="s">
        <v>78</v>
      </c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4"/>
      <c r="P163" s="45"/>
    </row>
    <row r="165" spans="3:16">
      <c r="O165" s="34"/>
      <c r="P165" s="34"/>
    </row>
    <row r="166" spans="3:16">
      <c r="O166" s="34"/>
      <c r="P166" s="34"/>
    </row>
    <row r="167" spans="3:16" ht="15.75">
      <c r="C167" s="2028" t="s">
        <v>733</v>
      </c>
      <c r="D167" s="2028"/>
      <c r="E167" s="2028"/>
      <c r="F167" s="2028"/>
      <c r="G167" s="2028"/>
      <c r="H167" s="2028"/>
      <c r="I167" s="2028"/>
      <c r="J167" s="2028"/>
      <c r="K167" s="2028"/>
      <c r="L167" s="2028"/>
      <c r="M167" s="2028"/>
      <c r="N167" s="2028"/>
      <c r="O167" s="2028"/>
      <c r="P167" s="2028"/>
    </row>
    <row r="168" spans="3:16" ht="13.5" thickBot="1">
      <c r="C168" s="49"/>
      <c r="D168" s="38"/>
      <c r="E168" s="39"/>
      <c r="F168" s="38"/>
      <c r="G168" s="38"/>
      <c r="H168" s="38"/>
      <c r="I168" s="39" t="s">
        <v>51</v>
      </c>
      <c r="M168" s="40"/>
    </row>
    <row r="169" spans="3:16" s="597" customFormat="1" ht="53.25" customHeight="1">
      <c r="C169" s="2029" t="s">
        <v>57</v>
      </c>
      <c r="D169" s="2019" t="s">
        <v>87</v>
      </c>
      <c r="E169" s="2032" t="s">
        <v>402</v>
      </c>
      <c r="F169" s="2032"/>
      <c r="G169" s="2032" t="s">
        <v>235</v>
      </c>
      <c r="H169" s="2032"/>
      <c r="I169" s="2032"/>
      <c r="J169" s="2032"/>
      <c r="K169" s="2032"/>
      <c r="L169" s="2032"/>
      <c r="M169" s="2019" t="s">
        <v>403</v>
      </c>
      <c r="N169" s="2022" t="s">
        <v>401</v>
      </c>
      <c r="O169" s="2025" t="s">
        <v>404</v>
      </c>
      <c r="P169" s="41"/>
    </row>
    <row r="170" spans="3:16" s="597" customFormat="1" ht="53.25" customHeight="1">
      <c r="C170" s="2030"/>
      <c r="D170" s="2020"/>
      <c r="E170" s="2033"/>
      <c r="F170" s="2033"/>
      <c r="G170" s="2034" t="s">
        <v>74</v>
      </c>
      <c r="H170" s="2034"/>
      <c r="I170" s="2023" t="s">
        <v>75</v>
      </c>
      <c r="J170" s="2034" t="s">
        <v>76</v>
      </c>
      <c r="K170" s="2034"/>
      <c r="L170" s="2023" t="s">
        <v>75</v>
      </c>
      <c r="M170" s="2020"/>
      <c r="N170" s="2023"/>
      <c r="O170" s="2026"/>
      <c r="P170" s="41"/>
    </row>
    <row r="171" spans="3:16" s="597" customFormat="1" ht="53.25" customHeight="1">
      <c r="C171" s="2031"/>
      <c r="D171" s="2021"/>
      <c r="E171" s="607" t="s">
        <v>44</v>
      </c>
      <c r="F171" s="607" t="s">
        <v>45</v>
      </c>
      <c r="G171" s="607" t="s">
        <v>44</v>
      </c>
      <c r="H171" s="607" t="s">
        <v>45</v>
      </c>
      <c r="I171" s="2024"/>
      <c r="J171" s="607" t="s">
        <v>44</v>
      </c>
      <c r="K171" s="607" t="s">
        <v>45</v>
      </c>
      <c r="L171" s="2024"/>
      <c r="M171" s="2021"/>
      <c r="N171" s="2024"/>
      <c r="O171" s="2027"/>
      <c r="P171" s="41"/>
    </row>
    <row r="172" spans="3:16" ht="27.75" customHeight="1">
      <c r="C172" s="176" t="s">
        <v>226</v>
      </c>
      <c r="D172" s="190">
        <f>+'PARTE DIC2021'!E103</f>
        <v>375</v>
      </c>
      <c r="E172" s="190">
        <f>+'PARTE DIC2021'!F103</f>
        <v>1082</v>
      </c>
      <c r="F172" s="190">
        <f>+'PARTE DIC2021'!G103</f>
        <v>0</v>
      </c>
      <c r="G172" s="190">
        <f>+'PARTE DIC2021'!H103</f>
        <v>173</v>
      </c>
      <c r="H172" s="190">
        <f>+'PARTE DIC2021'!I103</f>
        <v>0</v>
      </c>
      <c r="I172" s="190">
        <f>+'PARTE DIC2021'!J103</f>
        <v>173</v>
      </c>
      <c r="J172" s="190">
        <f>+'PARTE DIC2021'!K103</f>
        <v>909</v>
      </c>
      <c r="K172" s="190">
        <f>+'PARTE DIC2021'!L103</f>
        <v>0</v>
      </c>
      <c r="L172" s="190">
        <f>+'PARTE DIC2021'!M103</f>
        <v>909</v>
      </c>
      <c r="M172" s="190">
        <f>+'PARTE DIC2021'!N103</f>
        <v>1082</v>
      </c>
      <c r="N172" s="190">
        <f t="shared" ref="N172:N190" si="31">+M172-D172</f>
        <v>707</v>
      </c>
      <c r="O172" s="191">
        <f>+M172*1/D172-1</f>
        <v>1.8853333333333335</v>
      </c>
      <c r="P172" s="45"/>
    </row>
    <row r="173" spans="3:16" ht="27.75" customHeight="1">
      <c r="C173" s="175" t="s">
        <v>838</v>
      </c>
      <c r="D173" s="188">
        <f>+'PARTE DIC2021'!E104</f>
        <v>1368</v>
      </c>
      <c r="E173" s="188">
        <f>+'PARTE DIC2021'!F104</f>
        <v>2509</v>
      </c>
      <c r="F173" s="188">
        <f>+'PARTE DIC2021'!G104</f>
        <v>0</v>
      </c>
      <c r="G173" s="188">
        <f>+'PARTE DIC2021'!H104</f>
        <v>219</v>
      </c>
      <c r="H173" s="188">
        <f>+'PARTE DIC2021'!I104</f>
        <v>0</v>
      </c>
      <c r="I173" s="188">
        <f>+'PARTE DIC2021'!J104</f>
        <v>219</v>
      </c>
      <c r="J173" s="188">
        <f>+'PARTE DIC2021'!K104</f>
        <v>2290</v>
      </c>
      <c r="K173" s="188">
        <f>+'PARTE DIC2021'!L104</f>
        <v>0</v>
      </c>
      <c r="L173" s="188">
        <f>+'PARTE DIC2021'!M104</f>
        <v>2290</v>
      </c>
      <c r="M173" s="188">
        <f>+'PARTE DIC2021'!N104</f>
        <v>2509</v>
      </c>
      <c r="N173" s="188">
        <f t="shared" si="31"/>
        <v>1141</v>
      </c>
      <c r="O173" s="189">
        <f t="shared" ref="O173:O190" si="32">+M173*1/D173-1</f>
        <v>0.83406432748538006</v>
      </c>
      <c r="P173" s="45"/>
    </row>
    <row r="174" spans="3:16" ht="27.75" customHeight="1">
      <c r="C174" s="176" t="s">
        <v>212</v>
      </c>
      <c r="D174" s="190">
        <f>+'PARTE DIC2021'!E105</f>
        <v>168</v>
      </c>
      <c r="E174" s="190">
        <f>+'PARTE DIC2021'!F105</f>
        <v>402</v>
      </c>
      <c r="F174" s="190">
        <f>+'PARTE DIC2021'!G105</f>
        <v>0</v>
      </c>
      <c r="G174" s="190">
        <f>+'PARTE DIC2021'!H105</f>
        <v>41</v>
      </c>
      <c r="H174" s="190">
        <f>+'PARTE DIC2021'!I105</f>
        <v>0</v>
      </c>
      <c r="I174" s="190">
        <f>+'PARTE DIC2021'!J105</f>
        <v>41</v>
      </c>
      <c r="J174" s="190">
        <f>+'PARTE DIC2021'!K105</f>
        <v>361</v>
      </c>
      <c r="K174" s="190">
        <f>+'PARTE DIC2021'!L105</f>
        <v>0</v>
      </c>
      <c r="L174" s="190">
        <f>+'PARTE DIC2021'!M105</f>
        <v>361</v>
      </c>
      <c r="M174" s="190">
        <f>+'PARTE DIC2021'!N105</f>
        <v>402</v>
      </c>
      <c r="N174" s="190">
        <f t="shared" si="31"/>
        <v>234</v>
      </c>
      <c r="O174" s="191">
        <f t="shared" si="32"/>
        <v>1.3928571428571428</v>
      </c>
      <c r="P174" s="45"/>
    </row>
    <row r="175" spans="3:16" ht="27.75" customHeight="1">
      <c r="C175" s="175" t="s">
        <v>200</v>
      </c>
      <c r="D175" s="188">
        <f>+'PARTE DIC2021'!E106</f>
        <v>124</v>
      </c>
      <c r="E175" s="188">
        <f>+'PARTE DIC2021'!F106</f>
        <v>134</v>
      </c>
      <c r="F175" s="188">
        <f>+'PARTE DIC2021'!G106</f>
        <v>0</v>
      </c>
      <c r="G175" s="188">
        <f>+'PARTE DIC2021'!H106</f>
        <v>18</v>
      </c>
      <c r="H175" s="188">
        <f>+'PARTE DIC2021'!I106</f>
        <v>0</v>
      </c>
      <c r="I175" s="188">
        <f>+'PARTE DIC2021'!J106</f>
        <v>18</v>
      </c>
      <c r="J175" s="188">
        <f>+'PARTE DIC2021'!K106</f>
        <v>116</v>
      </c>
      <c r="K175" s="188">
        <f>+'PARTE DIC2021'!L106</f>
        <v>0</v>
      </c>
      <c r="L175" s="188">
        <f>+'PARTE DIC2021'!M106</f>
        <v>116</v>
      </c>
      <c r="M175" s="188">
        <f>+'PARTE DIC2021'!N106</f>
        <v>134</v>
      </c>
      <c r="N175" s="801">
        <f t="shared" si="31"/>
        <v>10</v>
      </c>
      <c r="O175" s="802">
        <f t="shared" si="32"/>
        <v>8.0645161290322509E-2</v>
      </c>
      <c r="P175" s="45"/>
    </row>
    <row r="176" spans="3:16" ht="27.75" customHeight="1">
      <c r="C176" s="176" t="s">
        <v>213</v>
      </c>
      <c r="D176" s="190">
        <f>+'PARTE DIC2021'!E107</f>
        <v>63</v>
      </c>
      <c r="E176" s="190">
        <f>+'PARTE DIC2021'!F107</f>
        <v>138</v>
      </c>
      <c r="F176" s="190">
        <f>+'PARTE DIC2021'!G107</f>
        <v>0</v>
      </c>
      <c r="G176" s="190">
        <f>+'PARTE DIC2021'!H107</f>
        <v>21</v>
      </c>
      <c r="H176" s="190">
        <f>+'PARTE DIC2021'!I107</f>
        <v>0</v>
      </c>
      <c r="I176" s="190">
        <f>+'PARTE DIC2021'!J107</f>
        <v>21</v>
      </c>
      <c r="J176" s="190">
        <f>+'PARTE DIC2021'!K107</f>
        <v>117</v>
      </c>
      <c r="K176" s="190">
        <f>+'PARTE DIC2021'!L107</f>
        <v>0</v>
      </c>
      <c r="L176" s="190">
        <f>+'PARTE DIC2021'!M107</f>
        <v>117</v>
      </c>
      <c r="M176" s="190">
        <f>+'PARTE DIC2021'!N107</f>
        <v>138</v>
      </c>
      <c r="N176" s="190">
        <f t="shared" si="31"/>
        <v>75</v>
      </c>
      <c r="O176" s="191">
        <f t="shared" si="32"/>
        <v>1.1904761904761907</v>
      </c>
      <c r="P176" s="45"/>
    </row>
    <row r="177" spans="3:16" ht="27.75" customHeight="1">
      <c r="C177" s="175" t="s">
        <v>164</v>
      </c>
      <c r="D177" s="188">
        <f>+'PARTE DIC2021'!E108</f>
        <v>83</v>
      </c>
      <c r="E177" s="188">
        <f>+'PARTE DIC2021'!F108</f>
        <v>99</v>
      </c>
      <c r="F177" s="188">
        <f>+'PARTE DIC2021'!G108</f>
        <v>0</v>
      </c>
      <c r="G177" s="188">
        <f>+'PARTE DIC2021'!H108</f>
        <v>10</v>
      </c>
      <c r="H177" s="188">
        <f>+'PARTE DIC2021'!I108</f>
        <v>0</v>
      </c>
      <c r="I177" s="188">
        <f>+'PARTE DIC2021'!J108</f>
        <v>10</v>
      </c>
      <c r="J177" s="188">
        <f>+'PARTE DIC2021'!K108</f>
        <v>89</v>
      </c>
      <c r="K177" s="188">
        <f>+'PARTE DIC2021'!L108</f>
        <v>0</v>
      </c>
      <c r="L177" s="188">
        <f>+'PARTE DIC2021'!M108</f>
        <v>89</v>
      </c>
      <c r="M177" s="188">
        <f>+'PARTE DIC2021'!N108</f>
        <v>99</v>
      </c>
      <c r="N177" s="188">
        <f t="shared" si="31"/>
        <v>16</v>
      </c>
      <c r="O177" s="189">
        <f t="shared" si="32"/>
        <v>0.19277108433734935</v>
      </c>
      <c r="P177" s="45"/>
    </row>
    <row r="178" spans="3:16" ht="27.75" customHeight="1">
      <c r="C178" s="176" t="s">
        <v>165</v>
      </c>
      <c r="D178" s="190">
        <f>+'PARTE DIC2021'!E109</f>
        <v>114</v>
      </c>
      <c r="E178" s="190">
        <f>+'PARTE DIC2021'!F109</f>
        <v>233</v>
      </c>
      <c r="F178" s="190">
        <f>+'PARTE DIC2021'!G109</f>
        <v>0</v>
      </c>
      <c r="G178" s="190">
        <f>+'PARTE DIC2021'!H109</f>
        <v>32</v>
      </c>
      <c r="H178" s="190">
        <f>+'PARTE DIC2021'!I109</f>
        <v>0</v>
      </c>
      <c r="I178" s="190">
        <f>+'PARTE DIC2021'!J109</f>
        <v>32</v>
      </c>
      <c r="J178" s="190">
        <f>+'PARTE DIC2021'!K109</f>
        <v>201</v>
      </c>
      <c r="K178" s="190">
        <f>+'PARTE DIC2021'!L109</f>
        <v>0</v>
      </c>
      <c r="L178" s="190">
        <f>+'PARTE DIC2021'!M109</f>
        <v>201</v>
      </c>
      <c r="M178" s="190">
        <f>+'PARTE DIC2021'!N109</f>
        <v>233</v>
      </c>
      <c r="N178" s="190">
        <f t="shared" si="31"/>
        <v>119</v>
      </c>
      <c r="O178" s="191">
        <f t="shared" si="32"/>
        <v>1.0438596491228069</v>
      </c>
      <c r="P178" s="45"/>
    </row>
    <row r="179" spans="3:16" ht="27.75" customHeight="1">
      <c r="C179" s="175" t="s">
        <v>166</v>
      </c>
      <c r="D179" s="188">
        <f>+'PARTE DIC2021'!E110</f>
        <v>150</v>
      </c>
      <c r="E179" s="188">
        <f>+'PARTE DIC2021'!F110</f>
        <v>254</v>
      </c>
      <c r="F179" s="188">
        <f>+'PARTE DIC2021'!G110</f>
        <v>0</v>
      </c>
      <c r="G179" s="188">
        <f>+'PARTE DIC2021'!H110</f>
        <v>98</v>
      </c>
      <c r="H179" s="188">
        <f>+'PARTE DIC2021'!I110</f>
        <v>0</v>
      </c>
      <c r="I179" s="188">
        <f>+'PARTE DIC2021'!J110</f>
        <v>98</v>
      </c>
      <c r="J179" s="188">
        <f>+'PARTE DIC2021'!K110</f>
        <v>156</v>
      </c>
      <c r="K179" s="188">
        <f>+'PARTE DIC2021'!L110</f>
        <v>0</v>
      </c>
      <c r="L179" s="188">
        <f>+'PARTE DIC2021'!M110</f>
        <v>156</v>
      </c>
      <c r="M179" s="188">
        <f>+'PARTE DIC2021'!N110</f>
        <v>254</v>
      </c>
      <c r="N179" s="188">
        <f t="shared" si="31"/>
        <v>104</v>
      </c>
      <c r="O179" s="189">
        <f t="shared" si="32"/>
        <v>0.69333333333333336</v>
      </c>
      <c r="P179" s="45"/>
    </row>
    <row r="180" spans="3:16" ht="27.75" customHeight="1">
      <c r="C180" s="176" t="s">
        <v>184</v>
      </c>
      <c r="D180" s="190">
        <f>+'PARTE DIC2021'!E111</f>
        <v>50</v>
      </c>
      <c r="E180" s="190">
        <f>+'PARTE DIC2021'!F111</f>
        <v>131</v>
      </c>
      <c r="F180" s="190">
        <f>+'PARTE DIC2021'!G111</f>
        <v>0</v>
      </c>
      <c r="G180" s="190">
        <f>+'PARTE DIC2021'!H111</f>
        <v>12</v>
      </c>
      <c r="H180" s="190">
        <f>+'PARTE DIC2021'!I111</f>
        <v>0</v>
      </c>
      <c r="I180" s="190">
        <f>+'PARTE DIC2021'!J111</f>
        <v>12</v>
      </c>
      <c r="J180" s="190">
        <f>+'PARTE DIC2021'!K111</f>
        <v>119</v>
      </c>
      <c r="K180" s="190">
        <f>+'PARTE DIC2021'!L111</f>
        <v>0</v>
      </c>
      <c r="L180" s="190">
        <f>+'PARTE DIC2021'!M111</f>
        <v>119</v>
      </c>
      <c r="M180" s="190">
        <f>+'PARTE DIC2021'!N111</f>
        <v>131</v>
      </c>
      <c r="N180" s="190">
        <f t="shared" si="31"/>
        <v>81</v>
      </c>
      <c r="O180" s="191">
        <f t="shared" si="32"/>
        <v>1.62</v>
      </c>
      <c r="P180" s="45"/>
    </row>
    <row r="181" spans="3:16" ht="27.75" customHeight="1">
      <c r="C181" s="175" t="s">
        <v>192</v>
      </c>
      <c r="D181" s="188">
        <f>+'PARTE DIC2021'!E112</f>
        <v>115</v>
      </c>
      <c r="E181" s="188">
        <f>+'PARTE DIC2021'!F112</f>
        <v>142</v>
      </c>
      <c r="F181" s="188">
        <f>+'PARTE DIC2021'!G112</f>
        <v>0</v>
      </c>
      <c r="G181" s="188">
        <f>+'PARTE DIC2021'!H112</f>
        <v>13</v>
      </c>
      <c r="H181" s="188">
        <f>+'PARTE DIC2021'!I112</f>
        <v>0</v>
      </c>
      <c r="I181" s="188">
        <f>+'PARTE DIC2021'!J112</f>
        <v>13</v>
      </c>
      <c r="J181" s="188">
        <f>+'PARTE DIC2021'!K112</f>
        <v>129</v>
      </c>
      <c r="K181" s="188">
        <f>+'PARTE DIC2021'!L112</f>
        <v>0</v>
      </c>
      <c r="L181" s="188">
        <f>+'PARTE DIC2021'!M112</f>
        <v>129</v>
      </c>
      <c r="M181" s="188">
        <f>+'PARTE DIC2021'!N112</f>
        <v>142</v>
      </c>
      <c r="N181" s="188">
        <f t="shared" si="31"/>
        <v>27</v>
      </c>
      <c r="O181" s="189">
        <f t="shared" si="32"/>
        <v>0.23478260869565215</v>
      </c>
      <c r="P181" s="45"/>
    </row>
    <row r="182" spans="3:16" ht="27.75" customHeight="1">
      <c r="C182" s="176" t="s">
        <v>197</v>
      </c>
      <c r="D182" s="190">
        <f>+'PARTE DIC2021'!E113</f>
        <v>76</v>
      </c>
      <c r="E182" s="190">
        <f>+'PARTE DIC2021'!F113</f>
        <v>111</v>
      </c>
      <c r="F182" s="190">
        <f>+'PARTE DIC2021'!G113</f>
        <v>0</v>
      </c>
      <c r="G182" s="190">
        <f>+'PARTE DIC2021'!H113</f>
        <v>16</v>
      </c>
      <c r="H182" s="190">
        <f>+'PARTE DIC2021'!I113</f>
        <v>0</v>
      </c>
      <c r="I182" s="190">
        <f>+'PARTE DIC2021'!J113</f>
        <v>16</v>
      </c>
      <c r="J182" s="190">
        <f>+'PARTE DIC2021'!K113</f>
        <v>95</v>
      </c>
      <c r="K182" s="190">
        <f>+'PARTE DIC2021'!L113</f>
        <v>0</v>
      </c>
      <c r="L182" s="190">
        <f>+'PARTE DIC2021'!M113</f>
        <v>95</v>
      </c>
      <c r="M182" s="190">
        <f>+'PARTE DIC2021'!N113</f>
        <v>111</v>
      </c>
      <c r="N182" s="190">
        <f t="shared" si="31"/>
        <v>35</v>
      </c>
      <c r="O182" s="191">
        <f t="shared" si="32"/>
        <v>0.46052631578947367</v>
      </c>
      <c r="P182" s="45"/>
    </row>
    <row r="183" spans="3:16" ht="27.75" customHeight="1">
      <c r="C183" s="175" t="s">
        <v>167</v>
      </c>
      <c r="D183" s="188">
        <f>+'PARTE DIC2021'!E114</f>
        <v>75</v>
      </c>
      <c r="E183" s="188">
        <f>+'PARTE DIC2021'!F114</f>
        <v>114</v>
      </c>
      <c r="F183" s="188">
        <f>+'PARTE DIC2021'!G114</f>
        <v>0</v>
      </c>
      <c r="G183" s="188">
        <f>+'PARTE DIC2021'!H114</f>
        <v>6</v>
      </c>
      <c r="H183" s="188">
        <f>+'PARTE DIC2021'!I114</f>
        <v>0</v>
      </c>
      <c r="I183" s="188">
        <f>+'PARTE DIC2021'!J114</f>
        <v>6</v>
      </c>
      <c r="J183" s="188">
        <f>+'PARTE DIC2021'!K114</f>
        <v>108</v>
      </c>
      <c r="K183" s="188">
        <f>+'PARTE DIC2021'!L114</f>
        <v>0</v>
      </c>
      <c r="L183" s="188">
        <f>+'PARTE DIC2021'!M114</f>
        <v>108</v>
      </c>
      <c r="M183" s="188">
        <f>+'PARTE DIC2021'!N114</f>
        <v>114</v>
      </c>
      <c r="N183" s="188">
        <f t="shared" si="31"/>
        <v>39</v>
      </c>
      <c r="O183" s="189">
        <f t="shared" si="32"/>
        <v>0.52</v>
      </c>
      <c r="P183" s="45"/>
    </row>
    <row r="184" spans="3:16" ht="27.75" customHeight="1">
      <c r="C184" s="176" t="s">
        <v>168</v>
      </c>
      <c r="D184" s="190">
        <f>+'PARTE DIC2021'!E115</f>
        <v>62</v>
      </c>
      <c r="E184" s="190">
        <f>+'PARTE DIC2021'!F115</f>
        <v>85</v>
      </c>
      <c r="F184" s="190">
        <f>+'PARTE DIC2021'!G115</f>
        <v>0</v>
      </c>
      <c r="G184" s="190">
        <f>+'PARTE DIC2021'!H115</f>
        <v>5</v>
      </c>
      <c r="H184" s="190">
        <f>+'PARTE DIC2021'!I115</f>
        <v>0</v>
      </c>
      <c r="I184" s="190">
        <f>+'PARTE DIC2021'!J115</f>
        <v>5</v>
      </c>
      <c r="J184" s="190">
        <f>+'PARTE DIC2021'!K115</f>
        <v>80</v>
      </c>
      <c r="K184" s="190">
        <f>+'PARTE DIC2021'!L115</f>
        <v>0</v>
      </c>
      <c r="L184" s="190">
        <f>+'PARTE DIC2021'!M115</f>
        <v>80</v>
      </c>
      <c r="M184" s="190">
        <f>+'PARTE DIC2021'!N115</f>
        <v>85</v>
      </c>
      <c r="N184" s="190">
        <f t="shared" si="31"/>
        <v>23</v>
      </c>
      <c r="O184" s="191">
        <f t="shared" si="32"/>
        <v>0.37096774193548376</v>
      </c>
      <c r="P184" s="45"/>
    </row>
    <row r="185" spans="3:16" ht="27.75" customHeight="1">
      <c r="C185" s="175" t="s">
        <v>185</v>
      </c>
      <c r="D185" s="188">
        <f>+'PARTE DIC2021'!E116</f>
        <v>191</v>
      </c>
      <c r="E185" s="188">
        <f>+'PARTE DIC2021'!F116</f>
        <v>196</v>
      </c>
      <c r="F185" s="188">
        <f>+'PARTE DIC2021'!G116</f>
        <v>0</v>
      </c>
      <c r="G185" s="188">
        <f>+'PARTE DIC2021'!H116</f>
        <v>23</v>
      </c>
      <c r="H185" s="188">
        <f>+'PARTE DIC2021'!I116</f>
        <v>0</v>
      </c>
      <c r="I185" s="188">
        <f>+'PARTE DIC2021'!J116</f>
        <v>23</v>
      </c>
      <c r="J185" s="188">
        <f>+'PARTE DIC2021'!K116</f>
        <v>173</v>
      </c>
      <c r="K185" s="188">
        <f>+'PARTE DIC2021'!L116</f>
        <v>0</v>
      </c>
      <c r="L185" s="188">
        <f>+'PARTE DIC2021'!M116</f>
        <v>173</v>
      </c>
      <c r="M185" s="188">
        <f>+'PARTE DIC2021'!N116</f>
        <v>196</v>
      </c>
      <c r="N185" s="188">
        <f t="shared" si="31"/>
        <v>5</v>
      </c>
      <c r="O185" s="189">
        <f t="shared" si="32"/>
        <v>2.6178010471204161E-2</v>
      </c>
      <c r="P185" s="45"/>
    </row>
    <row r="186" spans="3:16" ht="27.75" customHeight="1">
      <c r="C186" s="176" t="s">
        <v>214</v>
      </c>
      <c r="D186" s="190">
        <f>+'PARTE DIC2021'!E117</f>
        <v>286</v>
      </c>
      <c r="E186" s="190">
        <f>+'PARTE DIC2021'!F117</f>
        <v>387</v>
      </c>
      <c r="F186" s="190">
        <f>+'PARTE DIC2021'!G117</f>
        <v>16</v>
      </c>
      <c r="G186" s="190">
        <f>+'PARTE DIC2021'!H117</f>
        <v>217</v>
      </c>
      <c r="H186" s="190">
        <f>+'PARTE DIC2021'!I117</f>
        <v>10</v>
      </c>
      <c r="I186" s="190">
        <f>+'PARTE DIC2021'!J117</f>
        <v>227</v>
      </c>
      <c r="J186" s="190">
        <f>+'PARTE DIC2021'!K117</f>
        <v>170</v>
      </c>
      <c r="K186" s="190">
        <f>+'PARTE DIC2021'!L117</f>
        <v>6</v>
      </c>
      <c r="L186" s="190">
        <f>+'PARTE DIC2021'!M117</f>
        <v>176</v>
      </c>
      <c r="M186" s="190">
        <f>+'PARTE DIC2021'!N117</f>
        <v>403</v>
      </c>
      <c r="N186" s="190">
        <f t="shared" si="31"/>
        <v>117</v>
      </c>
      <c r="O186" s="191">
        <f t="shared" si="32"/>
        <v>0.40909090909090917</v>
      </c>
      <c r="P186" s="45"/>
    </row>
    <row r="187" spans="3:16" ht="27.75" customHeight="1">
      <c r="C187" s="175" t="s">
        <v>169</v>
      </c>
      <c r="D187" s="188">
        <f>+'PARTE DIC2021'!E118</f>
        <v>296</v>
      </c>
      <c r="E187" s="188">
        <f>+'PARTE DIC2021'!F118</f>
        <v>693</v>
      </c>
      <c r="F187" s="188">
        <f>+'PARTE DIC2021'!G118</f>
        <v>0</v>
      </c>
      <c r="G187" s="188">
        <f>+'PARTE DIC2021'!H118</f>
        <v>132</v>
      </c>
      <c r="H187" s="188">
        <f>+'PARTE DIC2021'!I118</f>
        <v>0</v>
      </c>
      <c r="I187" s="188">
        <f>+'PARTE DIC2021'!J118</f>
        <v>132</v>
      </c>
      <c r="J187" s="188">
        <f>+'PARTE DIC2021'!K118</f>
        <v>561</v>
      </c>
      <c r="K187" s="188">
        <f>+'PARTE DIC2021'!L118</f>
        <v>0</v>
      </c>
      <c r="L187" s="188">
        <f>+'PARTE DIC2021'!M118</f>
        <v>561</v>
      </c>
      <c r="M187" s="188">
        <f>+'PARTE DIC2021'!N118</f>
        <v>693</v>
      </c>
      <c r="N187" s="188">
        <f t="shared" si="31"/>
        <v>397</v>
      </c>
      <c r="O187" s="189">
        <f t="shared" si="32"/>
        <v>1.3412162162162162</v>
      </c>
      <c r="P187" s="45"/>
    </row>
    <row r="188" spans="3:16" ht="27.75" customHeight="1">
      <c r="C188" s="176" t="s">
        <v>170</v>
      </c>
      <c r="D188" s="190">
        <f>+'PARTE DIC2021'!E119</f>
        <v>81</v>
      </c>
      <c r="E188" s="190">
        <f>+'PARTE DIC2021'!F119</f>
        <v>80</v>
      </c>
      <c r="F188" s="190">
        <f>+'PARTE DIC2021'!G119</f>
        <v>0</v>
      </c>
      <c r="G188" s="190">
        <f>+'PARTE DIC2021'!H119</f>
        <v>29</v>
      </c>
      <c r="H188" s="190">
        <f>+'PARTE DIC2021'!I119</f>
        <v>0</v>
      </c>
      <c r="I188" s="190">
        <f>+'PARTE DIC2021'!J119</f>
        <v>29</v>
      </c>
      <c r="J188" s="190">
        <f>+'PARTE DIC2021'!K119</f>
        <v>51</v>
      </c>
      <c r="K188" s="190">
        <f>+'PARTE DIC2021'!L119</f>
        <v>0</v>
      </c>
      <c r="L188" s="190">
        <f>+'PARTE DIC2021'!M119</f>
        <v>51</v>
      </c>
      <c r="M188" s="190">
        <f>+'PARTE DIC2021'!N119</f>
        <v>80</v>
      </c>
      <c r="N188" s="198">
        <f t="shared" si="31"/>
        <v>-1</v>
      </c>
      <c r="O188" s="199">
        <f t="shared" si="32"/>
        <v>-1.2345679012345734E-2</v>
      </c>
      <c r="P188" s="45"/>
    </row>
    <row r="189" spans="3:16" ht="27.75" customHeight="1">
      <c r="C189" s="175" t="s">
        <v>171</v>
      </c>
      <c r="D189" s="188">
        <f>+'PARTE DIC2021'!E120</f>
        <v>1316</v>
      </c>
      <c r="E189" s="188">
        <f>+'PARTE DIC2021'!F120</f>
        <v>1500</v>
      </c>
      <c r="F189" s="188">
        <f>+'PARTE DIC2021'!G120</f>
        <v>0</v>
      </c>
      <c r="G189" s="188">
        <f>+'PARTE DIC2021'!H120</f>
        <v>153</v>
      </c>
      <c r="H189" s="188">
        <f>+'PARTE DIC2021'!I120</f>
        <v>0</v>
      </c>
      <c r="I189" s="188">
        <f>+'PARTE DIC2021'!J120</f>
        <v>153</v>
      </c>
      <c r="J189" s="188">
        <f>+'PARTE DIC2021'!K120</f>
        <v>1347</v>
      </c>
      <c r="K189" s="188">
        <f>+'PARTE DIC2021'!L120</f>
        <v>0</v>
      </c>
      <c r="L189" s="188">
        <f>+'PARTE DIC2021'!M120</f>
        <v>1347</v>
      </c>
      <c r="M189" s="188">
        <f>+'PARTE DIC2021'!N120</f>
        <v>1500</v>
      </c>
      <c r="N189" s="188">
        <f t="shared" si="31"/>
        <v>184</v>
      </c>
      <c r="O189" s="189">
        <f t="shared" si="32"/>
        <v>0.13981762917933138</v>
      </c>
      <c r="P189" s="45"/>
    </row>
    <row r="190" spans="3:16" ht="27.75" customHeight="1">
      <c r="C190" s="176" t="s">
        <v>186</v>
      </c>
      <c r="D190" s="190">
        <f>+'PARTE DIC2021'!E121</f>
        <v>3165</v>
      </c>
      <c r="E190" s="190">
        <f>+'PARTE DIC2021'!F121</f>
        <v>2282</v>
      </c>
      <c r="F190" s="190">
        <f>+'PARTE DIC2021'!G121</f>
        <v>1099</v>
      </c>
      <c r="G190" s="190">
        <f>+'PARTE DIC2021'!H121</f>
        <v>636</v>
      </c>
      <c r="H190" s="190">
        <f>+'PARTE DIC2021'!I121</f>
        <v>407</v>
      </c>
      <c r="I190" s="190">
        <f>+'PARTE DIC2021'!J121</f>
        <v>1043</v>
      </c>
      <c r="J190" s="190">
        <f>+'PARTE DIC2021'!K121</f>
        <v>1646</v>
      </c>
      <c r="K190" s="190">
        <f>+'PARTE DIC2021'!L121</f>
        <v>692</v>
      </c>
      <c r="L190" s="190">
        <f>+'PARTE DIC2021'!M121</f>
        <v>2338</v>
      </c>
      <c r="M190" s="190">
        <f>+'PARTE DIC2021'!N121</f>
        <v>3381</v>
      </c>
      <c r="N190" s="190">
        <f t="shared" si="31"/>
        <v>216</v>
      </c>
      <c r="O190" s="191">
        <f t="shared" si="32"/>
        <v>6.824644549763037E-2</v>
      </c>
      <c r="P190" s="45"/>
    </row>
    <row r="191" spans="3:16" s="597" customFormat="1" ht="33.75" customHeight="1">
      <c r="C191" s="599" t="s">
        <v>84</v>
      </c>
      <c r="D191" s="600">
        <f t="shared" ref="D191:N191" si="33">SUM(D172:D190)</f>
        <v>8158</v>
      </c>
      <c r="E191" s="600">
        <f t="shared" si="33"/>
        <v>10572</v>
      </c>
      <c r="F191" s="600">
        <f t="shared" si="33"/>
        <v>1115</v>
      </c>
      <c r="G191" s="600">
        <f t="shared" si="33"/>
        <v>1854</v>
      </c>
      <c r="H191" s="600">
        <f t="shared" si="33"/>
        <v>417</v>
      </c>
      <c r="I191" s="600">
        <f t="shared" si="33"/>
        <v>2271</v>
      </c>
      <c r="J191" s="600">
        <f t="shared" si="33"/>
        <v>8718</v>
      </c>
      <c r="K191" s="600">
        <f t="shared" si="33"/>
        <v>698</v>
      </c>
      <c r="L191" s="600">
        <f t="shared" si="33"/>
        <v>9416</v>
      </c>
      <c r="M191" s="600">
        <f t="shared" si="33"/>
        <v>11687</v>
      </c>
      <c r="N191" s="600">
        <f t="shared" si="33"/>
        <v>3529</v>
      </c>
      <c r="O191" s="601">
        <f>+M191*1/D191-1</f>
        <v>0.43258151507722475</v>
      </c>
      <c r="P191" s="602"/>
    </row>
    <row r="192" spans="3:16" s="597" customFormat="1" ht="33.75" customHeight="1" thickBot="1">
      <c r="C192" s="603" t="s">
        <v>117</v>
      </c>
      <c r="D192" s="604">
        <f t="shared" ref="D192:N192" si="34">+D191/D$15</f>
        <v>0.10143107585572368</v>
      </c>
      <c r="E192" s="604">
        <f t="shared" si="34"/>
        <v>0.11715295708159262</v>
      </c>
      <c r="F192" s="604">
        <f t="shared" si="34"/>
        <v>0.16711630695443644</v>
      </c>
      <c r="G192" s="604">
        <f t="shared" si="34"/>
        <v>8.0566660872588208E-2</v>
      </c>
      <c r="H192" s="604">
        <f t="shared" si="34"/>
        <v>0.16144018583042974</v>
      </c>
      <c r="I192" s="604">
        <f t="shared" si="34"/>
        <v>8.8728267239695249E-2</v>
      </c>
      <c r="J192" s="604">
        <f t="shared" si="34"/>
        <v>0.12967618140980827</v>
      </c>
      <c r="K192" s="604">
        <f t="shared" si="34"/>
        <v>0.17070188310100268</v>
      </c>
      <c r="L192" s="604">
        <f t="shared" si="34"/>
        <v>0.13202837993213495</v>
      </c>
      <c r="M192" s="604">
        <f t="shared" si="34"/>
        <v>0.12059269654225956</v>
      </c>
      <c r="N192" s="604">
        <f t="shared" si="34"/>
        <v>0.21408638679932054</v>
      </c>
      <c r="O192" s="605">
        <f>+O191/$R$25</f>
        <v>0.31273107494279695</v>
      </c>
      <c r="P192" s="602"/>
    </row>
    <row r="193" spans="3:16" ht="30" customHeight="1">
      <c r="C193" s="50" t="s">
        <v>78</v>
      </c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4"/>
      <c r="P193" s="45"/>
    </row>
    <row r="195" spans="3:16">
      <c r="C195" s="48"/>
      <c r="D195" s="35"/>
      <c r="E195" s="35"/>
      <c r="F195" s="35"/>
      <c r="G195" s="35"/>
      <c r="H195" s="35"/>
      <c r="I195" s="35"/>
      <c r="J195" s="35"/>
      <c r="K195" s="35"/>
      <c r="L195" s="35"/>
    </row>
    <row r="196" spans="3:16">
      <c r="C196" s="48"/>
      <c r="D196" s="35"/>
      <c r="E196" s="35"/>
      <c r="F196" s="35"/>
      <c r="G196" s="35"/>
      <c r="H196" s="35"/>
      <c r="I196" s="35"/>
      <c r="J196" s="35"/>
      <c r="K196" s="35"/>
      <c r="L196" s="35"/>
    </row>
    <row r="197" spans="3:16" ht="15.75">
      <c r="C197" s="2028" t="s">
        <v>734</v>
      </c>
      <c r="D197" s="2028"/>
      <c r="E197" s="2028"/>
      <c r="F197" s="2028"/>
      <c r="G197" s="2028"/>
      <c r="H197" s="2028"/>
      <c r="I197" s="2028"/>
      <c r="J197" s="2028"/>
      <c r="K197" s="2028"/>
      <c r="L197" s="2028"/>
      <c r="M197" s="2028"/>
      <c r="N197" s="2028"/>
      <c r="O197" s="2028"/>
      <c r="P197" s="2028"/>
    </row>
    <row r="198" spans="3:16" ht="13.5" thickBot="1">
      <c r="C198" s="49"/>
      <c r="D198" s="38"/>
      <c r="E198" s="39"/>
      <c r="F198" s="38"/>
      <c r="G198" s="38"/>
      <c r="H198" s="38"/>
      <c r="I198" s="39" t="s">
        <v>51</v>
      </c>
      <c r="M198" s="40"/>
    </row>
    <row r="199" spans="3:16" s="597" customFormat="1" ht="53.25" customHeight="1">
      <c r="C199" s="2029" t="s">
        <v>57</v>
      </c>
      <c r="D199" s="2019" t="s">
        <v>87</v>
      </c>
      <c r="E199" s="2032" t="s">
        <v>402</v>
      </c>
      <c r="F199" s="2032"/>
      <c r="G199" s="2032" t="s">
        <v>235</v>
      </c>
      <c r="H199" s="2032"/>
      <c r="I199" s="2032"/>
      <c r="J199" s="2032"/>
      <c r="K199" s="2032"/>
      <c r="L199" s="2032"/>
      <c r="M199" s="2019" t="s">
        <v>403</v>
      </c>
      <c r="N199" s="2022" t="s">
        <v>401</v>
      </c>
      <c r="O199" s="2025" t="s">
        <v>404</v>
      </c>
      <c r="P199" s="41"/>
    </row>
    <row r="200" spans="3:16" s="597" customFormat="1" ht="53.25" customHeight="1">
      <c r="C200" s="2030"/>
      <c r="D200" s="2020"/>
      <c r="E200" s="2033"/>
      <c r="F200" s="2033"/>
      <c r="G200" s="2034" t="s">
        <v>74</v>
      </c>
      <c r="H200" s="2034"/>
      <c r="I200" s="2023" t="s">
        <v>75</v>
      </c>
      <c r="J200" s="2034" t="s">
        <v>76</v>
      </c>
      <c r="K200" s="2034"/>
      <c r="L200" s="2023" t="s">
        <v>75</v>
      </c>
      <c r="M200" s="2020"/>
      <c r="N200" s="2023"/>
      <c r="O200" s="2026"/>
      <c r="P200" s="41"/>
    </row>
    <row r="201" spans="3:16" s="597" customFormat="1" ht="53.25" customHeight="1">
      <c r="C201" s="2031"/>
      <c r="D201" s="2021"/>
      <c r="E201" s="607" t="s">
        <v>44</v>
      </c>
      <c r="F201" s="607" t="s">
        <v>45</v>
      </c>
      <c r="G201" s="607" t="s">
        <v>44</v>
      </c>
      <c r="H201" s="607" t="s">
        <v>45</v>
      </c>
      <c r="I201" s="2024"/>
      <c r="J201" s="607" t="s">
        <v>44</v>
      </c>
      <c r="K201" s="607" t="s">
        <v>45</v>
      </c>
      <c r="L201" s="2024"/>
      <c r="M201" s="2021"/>
      <c r="N201" s="2024"/>
      <c r="O201" s="2027"/>
      <c r="P201" s="41"/>
    </row>
    <row r="202" spans="3:16" ht="27.75" customHeight="1">
      <c r="C202" s="176" t="s">
        <v>215</v>
      </c>
      <c r="D202" s="190">
        <f>+'PARTE DIC2021'!E122</f>
        <v>627</v>
      </c>
      <c r="E202" s="190">
        <f>+'PARTE DIC2021'!F122</f>
        <v>996</v>
      </c>
      <c r="F202" s="190">
        <f>+'PARTE DIC2021'!G122</f>
        <v>0</v>
      </c>
      <c r="G202" s="190">
        <f>+'PARTE DIC2021'!H122</f>
        <v>210</v>
      </c>
      <c r="H202" s="190">
        <f>+'PARTE DIC2021'!I122</f>
        <v>0</v>
      </c>
      <c r="I202" s="190">
        <f>+'PARTE DIC2021'!J122</f>
        <v>210</v>
      </c>
      <c r="J202" s="190">
        <f>+'PARTE DIC2021'!K122</f>
        <v>786</v>
      </c>
      <c r="K202" s="190">
        <f>+'PARTE DIC2021'!L122</f>
        <v>0</v>
      </c>
      <c r="L202" s="190">
        <f>+'PARTE DIC2021'!M122</f>
        <v>786</v>
      </c>
      <c r="M202" s="190">
        <f>+'PARTE DIC2021'!N122</f>
        <v>996</v>
      </c>
      <c r="N202" s="190">
        <f>+'PARTE DIC2021'!O122</f>
        <v>369</v>
      </c>
      <c r="O202" s="191">
        <f>+M202*1/D202-1</f>
        <v>0.58851674641148333</v>
      </c>
      <c r="P202" s="45"/>
    </row>
    <row r="203" spans="3:16" ht="27.75" customHeight="1">
      <c r="C203" s="175" t="s">
        <v>216</v>
      </c>
      <c r="D203" s="188">
        <f>+'PARTE DIC2021'!E123</f>
        <v>128</v>
      </c>
      <c r="E203" s="188">
        <f>+'PARTE DIC2021'!F123</f>
        <v>224</v>
      </c>
      <c r="F203" s="188">
        <f>+'PARTE DIC2021'!G123</f>
        <v>0</v>
      </c>
      <c r="G203" s="188">
        <f>+'PARTE DIC2021'!H123</f>
        <v>62</v>
      </c>
      <c r="H203" s="188">
        <f>+'PARTE DIC2021'!I123</f>
        <v>0</v>
      </c>
      <c r="I203" s="188">
        <f>+'PARTE DIC2021'!J123</f>
        <v>62</v>
      </c>
      <c r="J203" s="188">
        <f>+'PARTE DIC2021'!K123</f>
        <v>162</v>
      </c>
      <c r="K203" s="188">
        <f>+'PARTE DIC2021'!L123</f>
        <v>0</v>
      </c>
      <c r="L203" s="188">
        <f>+'PARTE DIC2021'!M123</f>
        <v>162</v>
      </c>
      <c r="M203" s="188">
        <f>+'PARTE DIC2021'!N123</f>
        <v>224</v>
      </c>
      <c r="N203" s="188">
        <f>+'PARTE DIC2021'!O123</f>
        <v>96</v>
      </c>
      <c r="O203" s="189">
        <f t="shared" ref="O203:O222" si="35">+M203*1/D203-1</f>
        <v>0.75</v>
      </c>
      <c r="P203" s="45"/>
    </row>
    <row r="204" spans="3:16" ht="27.75" customHeight="1">
      <c r="C204" s="176" t="s">
        <v>217</v>
      </c>
      <c r="D204" s="190">
        <f>+'PARTE DIC2021'!E124</f>
        <v>0</v>
      </c>
      <c r="E204" s="190">
        <f>+'PARTE DIC2021'!F124</f>
        <v>0</v>
      </c>
      <c r="F204" s="190">
        <f>+'PARTE DIC2021'!G124</f>
        <v>0</v>
      </c>
      <c r="G204" s="190">
        <f>+'PARTE DIC2021'!H124</f>
        <v>0</v>
      </c>
      <c r="H204" s="190">
        <f>+'PARTE DIC2021'!I124</f>
        <v>0</v>
      </c>
      <c r="I204" s="190">
        <f>+'PARTE DIC2021'!J124</f>
        <v>0</v>
      </c>
      <c r="J204" s="190">
        <f>+'PARTE DIC2021'!K124</f>
        <v>0</v>
      </c>
      <c r="K204" s="190">
        <f>+'PARTE DIC2021'!L124</f>
        <v>0</v>
      </c>
      <c r="L204" s="190">
        <f>+'PARTE DIC2021'!M124</f>
        <v>0</v>
      </c>
      <c r="M204" s="190">
        <f>+'PARTE DIC2021'!N124</f>
        <v>0</v>
      </c>
      <c r="N204" s="198">
        <f>+'PARTE DIC2021'!O124</f>
        <v>0</v>
      </c>
      <c r="O204" s="199">
        <v>0</v>
      </c>
      <c r="P204" s="45"/>
    </row>
    <row r="205" spans="3:16" ht="27.75" customHeight="1">
      <c r="C205" s="175" t="s">
        <v>218</v>
      </c>
      <c r="D205" s="188">
        <f>+'PARTE DIC2021'!E125</f>
        <v>58</v>
      </c>
      <c r="E205" s="188">
        <f>+'PARTE DIC2021'!F125</f>
        <v>67</v>
      </c>
      <c r="F205" s="188">
        <f>+'PARTE DIC2021'!G125</f>
        <v>0</v>
      </c>
      <c r="G205" s="188">
        <f>+'PARTE DIC2021'!H125</f>
        <v>21</v>
      </c>
      <c r="H205" s="188">
        <f>+'PARTE DIC2021'!I125</f>
        <v>0</v>
      </c>
      <c r="I205" s="188">
        <f>+'PARTE DIC2021'!J125</f>
        <v>21</v>
      </c>
      <c r="J205" s="188">
        <f>+'PARTE DIC2021'!K125</f>
        <v>46</v>
      </c>
      <c r="K205" s="188">
        <f>+'PARTE DIC2021'!L125</f>
        <v>0</v>
      </c>
      <c r="L205" s="188">
        <f>+'PARTE DIC2021'!M125</f>
        <v>46</v>
      </c>
      <c r="M205" s="188">
        <f>+'PARTE DIC2021'!N125</f>
        <v>67</v>
      </c>
      <c r="N205" s="188">
        <f>+'PARTE DIC2021'!O125</f>
        <v>9</v>
      </c>
      <c r="O205" s="189">
        <f t="shared" si="35"/>
        <v>0.15517241379310343</v>
      </c>
      <c r="P205" s="45"/>
    </row>
    <row r="206" spans="3:16" ht="27.75" customHeight="1">
      <c r="C206" s="176" t="s">
        <v>219</v>
      </c>
      <c r="D206" s="190">
        <f>+'PARTE DIC2021'!E126</f>
        <v>56</v>
      </c>
      <c r="E206" s="190">
        <f>+'PARTE DIC2021'!F126</f>
        <v>93</v>
      </c>
      <c r="F206" s="190">
        <f>+'PARTE DIC2021'!G126</f>
        <v>0</v>
      </c>
      <c r="G206" s="190">
        <f>+'PARTE DIC2021'!H126</f>
        <v>47</v>
      </c>
      <c r="H206" s="190">
        <f>+'PARTE DIC2021'!I126</f>
        <v>0</v>
      </c>
      <c r="I206" s="190">
        <f>+'PARTE DIC2021'!J126</f>
        <v>47</v>
      </c>
      <c r="J206" s="190">
        <f>+'PARTE DIC2021'!K126</f>
        <v>46</v>
      </c>
      <c r="K206" s="190">
        <f>+'PARTE DIC2021'!L126</f>
        <v>0</v>
      </c>
      <c r="L206" s="190">
        <f>+'PARTE DIC2021'!M126</f>
        <v>46</v>
      </c>
      <c r="M206" s="190">
        <f>+'PARTE DIC2021'!N126</f>
        <v>93</v>
      </c>
      <c r="N206" s="190">
        <f>+'PARTE DIC2021'!O126</f>
        <v>37</v>
      </c>
      <c r="O206" s="191">
        <f t="shared" si="35"/>
        <v>0.66071428571428581</v>
      </c>
      <c r="P206" s="45"/>
    </row>
    <row r="207" spans="3:16" ht="27.75" customHeight="1">
      <c r="C207" s="175" t="s">
        <v>220</v>
      </c>
      <c r="D207" s="188">
        <f>+'PARTE DIC2021'!E127</f>
        <v>54</v>
      </c>
      <c r="E207" s="188">
        <f>+'PARTE DIC2021'!F127</f>
        <v>96</v>
      </c>
      <c r="F207" s="188">
        <f>+'PARTE DIC2021'!G127</f>
        <v>0</v>
      </c>
      <c r="G207" s="188">
        <f>+'PARTE DIC2021'!H127</f>
        <v>35</v>
      </c>
      <c r="H207" s="188">
        <f>+'PARTE DIC2021'!I127</f>
        <v>0</v>
      </c>
      <c r="I207" s="188">
        <f>+'PARTE DIC2021'!J127</f>
        <v>35</v>
      </c>
      <c r="J207" s="188">
        <f>+'PARTE DIC2021'!K127</f>
        <v>61</v>
      </c>
      <c r="K207" s="188">
        <f>+'PARTE DIC2021'!L127</f>
        <v>0</v>
      </c>
      <c r="L207" s="188">
        <f>+'PARTE DIC2021'!M127</f>
        <v>61</v>
      </c>
      <c r="M207" s="188">
        <f>+'PARTE DIC2021'!N127</f>
        <v>96</v>
      </c>
      <c r="N207" s="188">
        <f>+'PARTE DIC2021'!O127</f>
        <v>42</v>
      </c>
      <c r="O207" s="189">
        <f t="shared" si="35"/>
        <v>0.77777777777777768</v>
      </c>
      <c r="P207" s="45"/>
    </row>
    <row r="208" spans="3:16" ht="27.75" customHeight="1">
      <c r="C208" s="176" t="s">
        <v>221</v>
      </c>
      <c r="D208" s="190">
        <f>+'PARTE DIC2021'!E128</f>
        <v>166</v>
      </c>
      <c r="E208" s="190">
        <f>+'PARTE DIC2021'!F128</f>
        <v>199</v>
      </c>
      <c r="F208" s="190">
        <f>+'PARTE DIC2021'!G128</f>
        <v>0</v>
      </c>
      <c r="G208" s="190">
        <f>+'PARTE DIC2021'!H128</f>
        <v>54</v>
      </c>
      <c r="H208" s="190">
        <f>+'PARTE DIC2021'!I128</f>
        <v>0</v>
      </c>
      <c r="I208" s="190">
        <f>+'PARTE DIC2021'!J128</f>
        <v>54</v>
      </c>
      <c r="J208" s="190">
        <f>+'PARTE DIC2021'!K128</f>
        <v>145</v>
      </c>
      <c r="K208" s="190">
        <f>+'PARTE DIC2021'!L128</f>
        <v>0</v>
      </c>
      <c r="L208" s="190">
        <f>+'PARTE DIC2021'!M128</f>
        <v>145</v>
      </c>
      <c r="M208" s="190">
        <f>+'PARTE DIC2021'!N128</f>
        <v>199</v>
      </c>
      <c r="N208" s="190">
        <f>+'PARTE DIC2021'!O128</f>
        <v>33</v>
      </c>
      <c r="O208" s="191">
        <f t="shared" si="35"/>
        <v>0.1987951807228916</v>
      </c>
      <c r="P208" s="45"/>
    </row>
    <row r="209" spans="3:21" ht="27.75" customHeight="1">
      <c r="C209" s="175" t="s">
        <v>174</v>
      </c>
      <c r="D209" s="188">
        <f>+'PARTE DIC2021'!E129</f>
        <v>128</v>
      </c>
      <c r="E209" s="188">
        <f>+'PARTE DIC2021'!F129</f>
        <v>0</v>
      </c>
      <c r="F209" s="188">
        <f>+'PARTE DIC2021'!G129</f>
        <v>166</v>
      </c>
      <c r="G209" s="188">
        <f>+'PARTE DIC2021'!H129</f>
        <v>0</v>
      </c>
      <c r="H209" s="188">
        <f>+'PARTE DIC2021'!I129</f>
        <v>68</v>
      </c>
      <c r="I209" s="188">
        <f>+'PARTE DIC2021'!J129</f>
        <v>68</v>
      </c>
      <c r="J209" s="188">
        <f>+'PARTE DIC2021'!K129</f>
        <v>0</v>
      </c>
      <c r="K209" s="188">
        <f>+'PARTE DIC2021'!L129</f>
        <v>98</v>
      </c>
      <c r="L209" s="188">
        <f>+'PARTE DIC2021'!M129</f>
        <v>98</v>
      </c>
      <c r="M209" s="188">
        <f>+'PARTE DIC2021'!N129</f>
        <v>166</v>
      </c>
      <c r="N209" s="188">
        <f>+'PARTE DIC2021'!O129</f>
        <v>38</v>
      </c>
      <c r="O209" s="798">
        <f t="shared" si="35"/>
        <v>0.296875</v>
      </c>
      <c r="P209" s="45"/>
    </row>
    <row r="210" spans="3:21" ht="27.75" customHeight="1">
      <c r="C210" s="176" t="s">
        <v>175</v>
      </c>
      <c r="D210" s="190">
        <f>+'PARTE DIC2021'!E130</f>
        <v>950</v>
      </c>
      <c r="E210" s="190">
        <f>+'PARTE DIC2021'!F130</f>
        <v>906</v>
      </c>
      <c r="F210" s="190">
        <f>+'PARTE DIC2021'!G130</f>
        <v>0</v>
      </c>
      <c r="G210" s="190">
        <f>+'PARTE DIC2021'!H130</f>
        <v>23</v>
      </c>
      <c r="H210" s="190">
        <f>+'PARTE DIC2021'!I130</f>
        <v>0</v>
      </c>
      <c r="I210" s="190">
        <f>+'PARTE DIC2021'!J130</f>
        <v>23</v>
      </c>
      <c r="J210" s="190">
        <f>+'PARTE DIC2021'!K130</f>
        <v>883</v>
      </c>
      <c r="K210" s="190">
        <f>+'PARTE DIC2021'!L130</f>
        <v>0</v>
      </c>
      <c r="L210" s="190">
        <f>+'PARTE DIC2021'!M130</f>
        <v>883</v>
      </c>
      <c r="M210" s="190">
        <f>+'PARTE DIC2021'!N130</f>
        <v>906</v>
      </c>
      <c r="N210" s="198">
        <f>+'PARTE DIC2021'!O130</f>
        <v>-44</v>
      </c>
      <c r="O210" s="796">
        <f t="shared" si="35"/>
        <v>-4.6315789473684199E-2</v>
      </c>
      <c r="P210" s="45"/>
    </row>
    <row r="211" spans="3:21" ht="27.75" customHeight="1">
      <c r="C211" s="175" t="s">
        <v>176</v>
      </c>
      <c r="D211" s="188">
        <f>+'PARTE DIC2021'!E131</f>
        <v>350</v>
      </c>
      <c r="E211" s="188">
        <f>+'PARTE DIC2021'!F131</f>
        <v>449</v>
      </c>
      <c r="F211" s="188">
        <f>+'PARTE DIC2021'!G131</f>
        <v>0</v>
      </c>
      <c r="G211" s="188">
        <f>+'PARTE DIC2021'!H131</f>
        <v>76</v>
      </c>
      <c r="H211" s="188">
        <f>+'PARTE DIC2021'!I131</f>
        <v>0</v>
      </c>
      <c r="I211" s="188">
        <f>+'PARTE DIC2021'!J131</f>
        <v>76</v>
      </c>
      <c r="J211" s="188">
        <f>+'PARTE DIC2021'!K131</f>
        <v>373</v>
      </c>
      <c r="K211" s="188">
        <f>+'PARTE DIC2021'!L131</f>
        <v>0</v>
      </c>
      <c r="L211" s="188">
        <f>+'PARTE DIC2021'!M131</f>
        <v>373</v>
      </c>
      <c r="M211" s="188">
        <f>+'PARTE DIC2021'!N131</f>
        <v>449</v>
      </c>
      <c r="N211" s="188">
        <f>+'PARTE DIC2021'!O131</f>
        <v>99</v>
      </c>
      <c r="O211" s="189">
        <f t="shared" si="35"/>
        <v>0.28285714285714292</v>
      </c>
      <c r="P211" s="45"/>
    </row>
    <row r="212" spans="3:21" ht="27.75" customHeight="1">
      <c r="C212" s="176" t="s">
        <v>177</v>
      </c>
      <c r="D212" s="190">
        <f>+'PARTE DIC2021'!E132</f>
        <v>156</v>
      </c>
      <c r="E212" s="190">
        <f>+'PARTE DIC2021'!F132</f>
        <v>0</v>
      </c>
      <c r="F212" s="190">
        <f>+'PARTE DIC2021'!G132</f>
        <v>184</v>
      </c>
      <c r="G212" s="190">
        <f>+'PARTE DIC2021'!H132</f>
        <v>0</v>
      </c>
      <c r="H212" s="190">
        <f>+'PARTE DIC2021'!I132</f>
        <v>40</v>
      </c>
      <c r="I212" s="190">
        <f>+'PARTE DIC2021'!J132</f>
        <v>40</v>
      </c>
      <c r="J212" s="190">
        <f>+'PARTE DIC2021'!K132</f>
        <v>0</v>
      </c>
      <c r="K212" s="190">
        <f>+'PARTE DIC2021'!L132</f>
        <v>144</v>
      </c>
      <c r="L212" s="190">
        <f>+'PARTE DIC2021'!M132</f>
        <v>144</v>
      </c>
      <c r="M212" s="190">
        <f>+'PARTE DIC2021'!N132</f>
        <v>184</v>
      </c>
      <c r="N212" s="190">
        <f>+'PARTE DIC2021'!O132</f>
        <v>28</v>
      </c>
      <c r="O212" s="191">
        <f t="shared" si="35"/>
        <v>0.17948717948717952</v>
      </c>
      <c r="P212" s="45"/>
    </row>
    <row r="213" spans="3:21" ht="27.75" customHeight="1">
      <c r="C213" s="175" t="s">
        <v>178</v>
      </c>
      <c r="D213" s="188">
        <f>+'PARTE DIC2021'!E133</f>
        <v>649</v>
      </c>
      <c r="E213" s="188">
        <f>+'PARTE DIC2021'!F133</f>
        <v>818</v>
      </c>
      <c r="F213" s="188">
        <f>+'PARTE DIC2021'!G133</f>
        <v>0</v>
      </c>
      <c r="G213" s="188">
        <f>+'PARTE DIC2021'!H133</f>
        <v>239</v>
      </c>
      <c r="H213" s="188">
        <f>+'PARTE DIC2021'!I133</f>
        <v>0</v>
      </c>
      <c r="I213" s="188">
        <f>+'PARTE DIC2021'!J133</f>
        <v>239</v>
      </c>
      <c r="J213" s="188">
        <f>+'PARTE DIC2021'!K133</f>
        <v>579</v>
      </c>
      <c r="K213" s="188">
        <f>+'PARTE DIC2021'!L133</f>
        <v>0</v>
      </c>
      <c r="L213" s="188">
        <f>+'PARTE DIC2021'!M133</f>
        <v>579</v>
      </c>
      <c r="M213" s="188">
        <f>+'PARTE DIC2021'!N133</f>
        <v>818</v>
      </c>
      <c r="N213" s="188">
        <f>+'PARTE DIC2021'!O133</f>
        <v>169</v>
      </c>
      <c r="O213" s="189">
        <f t="shared" si="35"/>
        <v>0.26040061633281963</v>
      </c>
      <c r="P213" s="45"/>
    </row>
    <row r="214" spans="3:21" ht="27.75" customHeight="1">
      <c r="C214" s="176" t="s">
        <v>187</v>
      </c>
      <c r="D214" s="190">
        <f>+'PARTE DIC2021'!E134</f>
        <v>178</v>
      </c>
      <c r="E214" s="190">
        <f>+'PARTE DIC2021'!F134</f>
        <v>232</v>
      </c>
      <c r="F214" s="190">
        <f>+'PARTE DIC2021'!G134</f>
        <v>0</v>
      </c>
      <c r="G214" s="190">
        <f>+'PARTE DIC2021'!H134</f>
        <v>70</v>
      </c>
      <c r="H214" s="190">
        <f>+'PARTE DIC2021'!I134</f>
        <v>0</v>
      </c>
      <c r="I214" s="190">
        <f>+'PARTE DIC2021'!J134</f>
        <v>70</v>
      </c>
      <c r="J214" s="190">
        <f>+'PARTE DIC2021'!K134</f>
        <v>162</v>
      </c>
      <c r="K214" s="190">
        <f>+'PARTE DIC2021'!L134</f>
        <v>0</v>
      </c>
      <c r="L214" s="190">
        <f>+'PARTE DIC2021'!M134</f>
        <v>162</v>
      </c>
      <c r="M214" s="190">
        <f>+'PARTE DIC2021'!N134</f>
        <v>232</v>
      </c>
      <c r="N214" s="190">
        <f>+'PARTE DIC2021'!O134</f>
        <v>54</v>
      </c>
      <c r="O214" s="191">
        <f t="shared" si="35"/>
        <v>0.30337078651685401</v>
      </c>
      <c r="P214" s="45"/>
    </row>
    <row r="215" spans="3:21" ht="27.75" customHeight="1">
      <c r="C215" s="175" t="s">
        <v>222</v>
      </c>
      <c r="D215" s="188">
        <f>+'PARTE DIC2021'!E135</f>
        <v>305</v>
      </c>
      <c r="E215" s="188">
        <f>+'PARTE DIC2021'!F135</f>
        <v>0</v>
      </c>
      <c r="F215" s="188">
        <f>+'PARTE DIC2021'!G135</f>
        <v>287</v>
      </c>
      <c r="G215" s="188">
        <f>+'PARTE DIC2021'!H135</f>
        <v>0</v>
      </c>
      <c r="H215" s="188">
        <f>+'PARTE DIC2021'!I135</f>
        <v>79</v>
      </c>
      <c r="I215" s="188">
        <f>+'PARTE DIC2021'!J135</f>
        <v>79</v>
      </c>
      <c r="J215" s="188">
        <f>+'PARTE DIC2021'!K135</f>
        <v>0</v>
      </c>
      <c r="K215" s="188">
        <f>+'PARTE DIC2021'!L135</f>
        <v>208</v>
      </c>
      <c r="L215" s="188">
        <f>+'PARTE DIC2021'!M135</f>
        <v>208</v>
      </c>
      <c r="M215" s="188">
        <f>+'PARTE DIC2021'!N135</f>
        <v>287</v>
      </c>
      <c r="N215" s="198">
        <f>+'PARTE DIC2021'!O135</f>
        <v>-18</v>
      </c>
      <c r="O215" s="199">
        <f t="shared" si="35"/>
        <v>-5.9016393442622994E-2</v>
      </c>
      <c r="P215" s="45"/>
    </row>
    <row r="216" spans="3:21" ht="27.75" customHeight="1">
      <c r="C216" s="176" t="s">
        <v>179</v>
      </c>
      <c r="D216" s="190">
        <f>+'PARTE DIC2021'!E136</f>
        <v>40</v>
      </c>
      <c r="E216" s="190">
        <f>+'PARTE DIC2021'!F136</f>
        <v>0</v>
      </c>
      <c r="F216" s="190">
        <f>+'PARTE DIC2021'!G136</f>
        <v>0</v>
      </c>
      <c r="G216" s="190">
        <f>+'PARTE DIC2021'!H136</f>
        <v>0</v>
      </c>
      <c r="H216" s="190">
        <f>+'PARTE DIC2021'!I136</f>
        <v>0</v>
      </c>
      <c r="I216" s="190">
        <f>+'PARTE DIC2021'!J136</f>
        <v>0</v>
      </c>
      <c r="J216" s="190">
        <f>+'PARTE DIC2021'!K136</f>
        <v>0</v>
      </c>
      <c r="K216" s="190">
        <f>+'PARTE DIC2021'!L136</f>
        <v>0</v>
      </c>
      <c r="L216" s="190">
        <f>+'PARTE DIC2021'!M136</f>
        <v>0</v>
      </c>
      <c r="M216" s="190">
        <f>+'PARTE DIC2021'!N136</f>
        <v>0</v>
      </c>
      <c r="N216" s="198">
        <f>+'PARTE DIC2021'!O136</f>
        <v>-40</v>
      </c>
      <c r="O216" s="199">
        <f t="shared" si="35"/>
        <v>-1</v>
      </c>
      <c r="P216" s="45"/>
      <c r="U216" s="36"/>
    </row>
    <row r="217" spans="3:21" ht="27.75" customHeight="1">
      <c r="C217" s="175" t="s">
        <v>180</v>
      </c>
      <c r="D217" s="188">
        <f>+'PARTE DIC2021'!E137</f>
        <v>88</v>
      </c>
      <c r="E217" s="188">
        <f>+'PARTE DIC2021'!F137</f>
        <v>120</v>
      </c>
      <c r="F217" s="188">
        <f>+'PARTE DIC2021'!G137</f>
        <v>0</v>
      </c>
      <c r="G217" s="188">
        <f>+'PARTE DIC2021'!H137</f>
        <v>23</v>
      </c>
      <c r="H217" s="188">
        <f>+'PARTE DIC2021'!I137</f>
        <v>0</v>
      </c>
      <c r="I217" s="188">
        <f>+'PARTE DIC2021'!J137</f>
        <v>23</v>
      </c>
      <c r="J217" s="188">
        <f>+'PARTE DIC2021'!K137</f>
        <v>97</v>
      </c>
      <c r="K217" s="188">
        <f>+'PARTE DIC2021'!L137</f>
        <v>0</v>
      </c>
      <c r="L217" s="188">
        <f>+'PARTE DIC2021'!M137</f>
        <v>97</v>
      </c>
      <c r="M217" s="188">
        <f>+'PARTE DIC2021'!N137</f>
        <v>120</v>
      </c>
      <c r="N217" s="188">
        <f>+'PARTE DIC2021'!O137</f>
        <v>32</v>
      </c>
      <c r="O217" s="189">
        <f t="shared" si="35"/>
        <v>0.36363636363636354</v>
      </c>
      <c r="P217" s="45"/>
    </row>
    <row r="218" spans="3:21" ht="27.75" customHeight="1">
      <c r="C218" s="176" t="s">
        <v>193</v>
      </c>
      <c r="D218" s="190">
        <f>+'PARTE DIC2021'!E138</f>
        <v>208</v>
      </c>
      <c r="E218" s="190">
        <f>+'PARTE DIC2021'!F138</f>
        <v>313</v>
      </c>
      <c r="F218" s="190">
        <f>+'PARTE DIC2021'!G138</f>
        <v>0</v>
      </c>
      <c r="G218" s="190">
        <f>+'PARTE DIC2021'!H138</f>
        <v>128</v>
      </c>
      <c r="H218" s="190">
        <f>+'PARTE DIC2021'!I138</f>
        <v>0</v>
      </c>
      <c r="I218" s="190">
        <f>+'PARTE DIC2021'!J138</f>
        <v>128</v>
      </c>
      <c r="J218" s="190">
        <f>+'PARTE DIC2021'!K138</f>
        <v>185</v>
      </c>
      <c r="K218" s="190">
        <f>+'PARTE DIC2021'!L138</f>
        <v>0</v>
      </c>
      <c r="L218" s="190">
        <f>+'PARTE DIC2021'!M138</f>
        <v>185</v>
      </c>
      <c r="M218" s="190">
        <f>+'PARTE DIC2021'!N138</f>
        <v>313</v>
      </c>
      <c r="N218" s="190">
        <f>+'PARTE DIC2021'!O138</f>
        <v>105</v>
      </c>
      <c r="O218" s="191">
        <f t="shared" si="35"/>
        <v>0.50480769230769229</v>
      </c>
      <c r="P218" s="45"/>
    </row>
    <row r="219" spans="3:21" ht="27.75" customHeight="1">
      <c r="C219" s="175" t="s">
        <v>198</v>
      </c>
      <c r="D219" s="188">
        <f>+'PARTE DIC2021'!E139</f>
        <v>99</v>
      </c>
      <c r="E219" s="188">
        <f>+'PARTE DIC2021'!F139</f>
        <v>90</v>
      </c>
      <c r="F219" s="188">
        <f>+'PARTE DIC2021'!G139</f>
        <v>0</v>
      </c>
      <c r="G219" s="188">
        <f>+'PARTE DIC2021'!H139</f>
        <v>27</v>
      </c>
      <c r="H219" s="188">
        <f>+'PARTE DIC2021'!I139</f>
        <v>0</v>
      </c>
      <c r="I219" s="188">
        <f>+'PARTE DIC2021'!J139</f>
        <v>27</v>
      </c>
      <c r="J219" s="188">
        <f>+'PARTE DIC2021'!K139</f>
        <v>63</v>
      </c>
      <c r="K219" s="188">
        <f>+'PARTE DIC2021'!L139</f>
        <v>0</v>
      </c>
      <c r="L219" s="188">
        <f>+'PARTE DIC2021'!M139</f>
        <v>63</v>
      </c>
      <c r="M219" s="188">
        <f>+'PARTE DIC2021'!N139</f>
        <v>90</v>
      </c>
      <c r="N219" s="198">
        <f>+'PARTE DIC2021'!O139</f>
        <v>-9</v>
      </c>
      <c r="O219" s="199">
        <f t="shared" si="35"/>
        <v>-9.0909090909090939E-2</v>
      </c>
      <c r="P219" s="45"/>
    </row>
    <row r="220" spans="3:21" ht="27.75" customHeight="1">
      <c r="C220" s="176" t="s">
        <v>181</v>
      </c>
      <c r="D220" s="190">
        <f>+'PARTE DIC2021'!E140</f>
        <v>120</v>
      </c>
      <c r="E220" s="190">
        <f>+'PARTE DIC2021'!F140</f>
        <v>190</v>
      </c>
      <c r="F220" s="190">
        <f>+'PARTE DIC2021'!G140</f>
        <v>0</v>
      </c>
      <c r="G220" s="190">
        <f>+'PARTE DIC2021'!H140</f>
        <v>65</v>
      </c>
      <c r="H220" s="190">
        <f>+'PARTE DIC2021'!I140</f>
        <v>0</v>
      </c>
      <c r="I220" s="190">
        <f>+'PARTE DIC2021'!J140</f>
        <v>65</v>
      </c>
      <c r="J220" s="190">
        <f>+'PARTE DIC2021'!K140</f>
        <v>125</v>
      </c>
      <c r="K220" s="190">
        <f>+'PARTE DIC2021'!L140</f>
        <v>0</v>
      </c>
      <c r="L220" s="190">
        <f>+'PARTE DIC2021'!M140</f>
        <v>125</v>
      </c>
      <c r="M220" s="190">
        <f>+'PARTE DIC2021'!N140</f>
        <v>190</v>
      </c>
      <c r="N220" s="190">
        <f>+'PARTE DIC2021'!O140</f>
        <v>70</v>
      </c>
      <c r="O220" s="191">
        <f t="shared" si="35"/>
        <v>0.58333333333333326</v>
      </c>
      <c r="P220" s="45"/>
    </row>
    <row r="221" spans="3:21" ht="27.75" customHeight="1">
      <c r="C221" s="175" t="s">
        <v>188</v>
      </c>
      <c r="D221" s="188">
        <f>+'PARTE DIC2021'!E141</f>
        <v>1524</v>
      </c>
      <c r="E221" s="188">
        <f>+'PARTE DIC2021'!F141</f>
        <v>1525</v>
      </c>
      <c r="F221" s="188">
        <f>+'PARTE DIC2021'!G141</f>
        <v>0</v>
      </c>
      <c r="G221" s="188">
        <f>+'PARTE DIC2021'!H141</f>
        <v>146</v>
      </c>
      <c r="H221" s="188">
        <f>+'PARTE DIC2021'!I141</f>
        <v>0</v>
      </c>
      <c r="I221" s="188">
        <f>+'PARTE DIC2021'!J141</f>
        <v>146</v>
      </c>
      <c r="J221" s="188">
        <f>+'PARTE DIC2021'!K141</f>
        <v>1379</v>
      </c>
      <c r="K221" s="188">
        <f>+'PARTE DIC2021'!L141</f>
        <v>0</v>
      </c>
      <c r="L221" s="188">
        <f>+'PARTE DIC2021'!M141</f>
        <v>1379</v>
      </c>
      <c r="M221" s="188">
        <f>+'PARTE DIC2021'!N141</f>
        <v>1525</v>
      </c>
      <c r="N221" s="188">
        <f>+'PARTE DIC2021'!O141</f>
        <v>1</v>
      </c>
      <c r="O221" s="798">
        <f t="shared" si="35"/>
        <v>6.5616797900269752E-4</v>
      </c>
      <c r="P221" s="45"/>
    </row>
    <row r="222" spans="3:21" ht="27.75" customHeight="1">
      <c r="C222" s="176" t="s">
        <v>199</v>
      </c>
      <c r="D222" s="190">
        <f>+'PARTE DIC2021'!E142</f>
        <v>4642</v>
      </c>
      <c r="E222" s="190">
        <f>+'PARTE DIC2021'!F142</f>
        <v>4328</v>
      </c>
      <c r="F222" s="190">
        <f>+'PARTE DIC2021'!G142</f>
        <v>395</v>
      </c>
      <c r="G222" s="190">
        <f>+'PARTE DIC2021'!H142</f>
        <v>919</v>
      </c>
      <c r="H222" s="190">
        <f>+'PARTE DIC2021'!I142</f>
        <v>140</v>
      </c>
      <c r="I222" s="190">
        <f>+'PARTE DIC2021'!J142</f>
        <v>1059</v>
      </c>
      <c r="J222" s="190">
        <f>+'PARTE DIC2021'!K142</f>
        <v>3409</v>
      </c>
      <c r="K222" s="190">
        <f>+'PARTE DIC2021'!L142</f>
        <v>255</v>
      </c>
      <c r="L222" s="190">
        <f>+'PARTE DIC2021'!M142</f>
        <v>3664</v>
      </c>
      <c r="M222" s="190">
        <f>+'PARTE DIC2021'!N142</f>
        <v>4723</v>
      </c>
      <c r="N222" s="190">
        <f>+'PARTE DIC2021'!O142</f>
        <v>81</v>
      </c>
      <c r="O222" s="1306">
        <f t="shared" si="35"/>
        <v>1.7449375269280587E-2</v>
      </c>
      <c r="P222" s="45"/>
    </row>
    <row r="223" spans="3:21" s="597" customFormat="1" ht="33.75" customHeight="1">
      <c r="C223" s="599" t="s">
        <v>85</v>
      </c>
      <c r="D223" s="600">
        <f>SUM(D202:D222)</f>
        <v>10526</v>
      </c>
      <c r="E223" s="600">
        <f>SUM(E202:E222)</f>
        <v>10646</v>
      </c>
      <c r="F223" s="600">
        <f t="shared" ref="F223:N223" si="36">SUM(F202:F222)</f>
        <v>1032</v>
      </c>
      <c r="G223" s="600">
        <f t="shared" si="36"/>
        <v>2145</v>
      </c>
      <c r="H223" s="600">
        <f t="shared" si="36"/>
        <v>327</v>
      </c>
      <c r="I223" s="600">
        <f t="shared" si="36"/>
        <v>2472</v>
      </c>
      <c r="J223" s="600">
        <f t="shared" si="36"/>
        <v>8501</v>
      </c>
      <c r="K223" s="600">
        <f t="shared" si="36"/>
        <v>705</v>
      </c>
      <c r="L223" s="600">
        <f t="shared" si="36"/>
        <v>9206</v>
      </c>
      <c r="M223" s="600">
        <f t="shared" si="36"/>
        <v>11678</v>
      </c>
      <c r="N223" s="600">
        <f t="shared" si="36"/>
        <v>1152</v>
      </c>
      <c r="O223" s="601">
        <f>+M223*1/D223-1</f>
        <v>0.10944328329849906</v>
      </c>
      <c r="P223" s="602"/>
    </row>
    <row r="224" spans="3:21" s="597" customFormat="1" ht="33.75" customHeight="1" thickBot="1">
      <c r="C224" s="603" t="s">
        <v>117</v>
      </c>
      <c r="D224" s="604">
        <f t="shared" ref="D224:N224" si="37">+D223/D$15</f>
        <v>0.13087319250519092</v>
      </c>
      <c r="E224" s="604">
        <f t="shared" si="37"/>
        <v>0.11797298345541384</v>
      </c>
      <c r="F224" s="604">
        <f t="shared" si="37"/>
        <v>0.15467625899280577</v>
      </c>
      <c r="G224" s="604">
        <f t="shared" si="37"/>
        <v>9.3212237093690253E-2</v>
      </c>
      <c r="H224" s="604">
        <f t="shared" si="37"/>
        <v>0.12659698025551683</v>
      </c>
      <c r="I224" s="604">
        <f t="shared" si="37"/>
        <v>9.6581363547567883E-2</v>
      </c>
      <c r="J224" s="604">
        <f t="shared" si="37"/>
        <v>0.12644840768120899</v>
      </c>
      <c r="K224" s="604">
        <f t="shared" si="37"/>
        <v>0.17241379310344829</v>
      </c>
      <c r="L224" s="604">
        <f t="shared" si="37"/>
        <v>0.12908382175607841</v>
      </c>
      <c r="M224" s="604">
        <f t="shared" si="37"/>
        <v>0.12049982974420356</v>
      </c>
      <c r="N224" s="604">
        <f t="shared" si="37"/>
        <v>6.9885950012132977E-2</v>
      </c>
      <c r="O224" s="605">
        <f>+O223/$R$25</f>
        <v>7.912107761955238E-2</v>
      </c>
      <c r="P224" s="602"/>
    </row>
    <row r="225" spans="3:17" ht="30" customHeight="1">
      <c r="C225" s="50" t="s">
        <v>78</v>
      </c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4"/>
      <c r="P225" s="45"/>
    </row>
    <row r="226" spans="3:17">
      <c r="D226" s="1995" t="s">
        <v>839</v>
      </c>
      <c r="E226" s="1995"/>
      <c r="F226" s="1995"/>
      <c r="G226" s="1995"/>
      <c r="H226" s="1995"/>
      <c r="I226" s="1995"/>
      <c r="J226" s="1995"/>
      <c r="K226" s="1995"/>
      <c r="L226" s="1995"/>
      <c r="M226" s="1995"/>
    </row>
    <row r="227" spans="3:17">
      <c r="D227" s="1995"/>
      <c r="E227" s="1995"/>
      <c r="F227" s="1995"/>
      <c r="G227" s="1995"/>
      <c r="H227" s="1995"/>
      <c r="I227" s="1995"/>
      <c r="J227" s="1995"/>
      <c r="K227" s="1995"/>
      <c r="L227" s="1995"/>
      <c r="M227" s="1995"/>
      <c r="P227" s="34"/>
      <c r="Q227" s="56"/>
    </row>
    <row r="228" spans="3:17">
      <c r="O228" s="34"/>
      <c r="P228" s="34"/>
    </row>
    <row r="229" spans="3:17" ht="13.5" thickBot="1">
      <c r="O229" s="34"/>
      <c r="P229" s="34"/>
    </row>
    <row r="230" spans="3:17" ht="50.25" customHeight="1">
      <c r="C230" s="2004" t="s">
        <v>676</v>
      </c>
      <c r="D230" s="2007" t="s">
        <v>87</v>
      </c>
      <c r="E230" s="2010" t="s">
        <v>836</v>
      </c>
      <c r="F230" s="2010"/>
      <c r="G230" s="2010" t="s">
        <v>235</v>
      </c>
      <c r="H230" s="2010"/>
      <c r="I230" s="2010"/>
      <c r="J230" s="2010"/>
      <c r="K230" s="2010"/>
      <c r="L230" s="2010"/>
      <c r="M230" s="2007" t="s">
        <v>921</v>
      </c>
      <c r="N230" s="2012" t="s">
        <v>399</v>
      </c>
      <c r="O230" s="2015" t="s">
        <v>398</v>
      </c>
      <c r="P230" s="41"/>
    </row>
    <row r="231" spans="3:17" ht="41.25" customHeight="1">
      <c r="C231" s="2005"/>
      <c r="D231" s="2008"/>
      <c r="E231" s="2011"/>
      <c r="F231" s="2011"/>
      <c r="G231" s="2018" t="s">
        <v>74</v>
      </c>
      <c r="H231" s="2018"/>
      <c r="I231" s="2013" t="s">
        <v>119</v>
      </c>
      <c r="J231" s="2018" t="s">
        <v>76</v>
      </c>
      <c r="K231" s="2018"/>
      <c r="L231" s="2013" t="s">
        <v>119</v>
      </c>
      <c r="M231" s="2008"/>
      <c r="N231" s="2013"/>
      <c r="O231" s="2016"/>
      <c r="P231" s="41"/>
    </row>
    <row r="232" spans="3:17" ht="53.25" customHeight="1">
      <c r="C232" s="2006"/>
      <c r="D232" s="2009"/>
      <c r="E232" s="1540" t="s">
        <v>812</v>
      </c>
      <c r="F232" s="1540" t="s">
        <v>811</v>
      </c>
      <c r="G232" s="1540" t="s">
        <v>812</v>
      </c>
      <c r="H232" s="1540" t="s">
        <v>811</v>
      </c>
      <c r="I232" s="2014"/>
      <c r="J232" s="1540" t="s">
        <v>812</v>
      </c>
      <c r="K232" s="1540" t="s">
        <v>811</v>
      </c>
      <c r="L232" s="2014"/>
      <c r="M232" s="2009"/>
      <c r="N232" s="2014"/>
      <c r="O232" s="2017"/>
      <c r="P232" s="41"/>
    </row>
    <row r="233" spans="3:17" ht="26.25" customHeight="1">
      <c r="C233" s="177" t="s">
        <v>247</v>
      </c>
      <c r="D233" s="1541">
        <v>80645</v>
      </c>
      <c r="E233" s="1541">
        <v>89877</v>
      </c>
      <c r="F233" s="1541">
        <v>6898</v>
      </c>
      <c r="G233" s="1541">
        <v>21095</v>
      </c>
      <c r="H233" s="1541">
        <v>2320</v>
      </c>
      <c r="I233" s="1541">
        <v>23415</v>
      </c>
      <c r="J233" s="1541">
        <v>68782</v>
      </c>
      <c r="K233" s="1541">
        <v>4578</v>
      </c>
      <c r="L233" s="1541">
        <v>73360</v>
      </c>
      <c r="M233" s="1541">
        <v>96775</v>
      </c>
      <c r="N233" s="1541">
        <v>16130</v>
      </c>
      <c r="O233" s="1542">
        <v>0.20001240002480003</v>
      </c>
      <c r="P233" s="46"/>
      <c r="Q233" s="56"/>
    </row>
    <row r="234" spans="3:17" ht="26.25" customHeight="1">
      <c r="C234" s="180" t="s">
        <v>12</v>
      </c>
      <c r="D234" s="1543">
        <v>80900</v>
      </c>
      <c r="E234" s="1543">
        <v>90115</v>
      </c>
      <c r="F234" s="1543">
        <v>6920</v>
      </c>
      <c r="G234" s="1543">
        <v>21292</v>
      </c>
      <c r="H234" s="1543">
        <v>2364</v>
      </c>
      <c r="I234" s="1543">
        <v>23656</v>
      </c>
      <c r="J234" s="1543">
        <v>68823</v>
      </c>
      <c r="K234" s="1543">
        <v>4556</v>
      </c>
      <c r="L234" s="1543">
        <v>73379</v>
      </c>
      <c r="M234" s="1543">
        <v>97035</v>
      </c>
      <c r="N234" s="1543">
        <v>16135</v>
      </c>
      <c r="O234" s="1544">
        <v>0.1994437577255872</v>
      </c>
      <c r="P234" s="46"/>
      <c r="Q234" s="56"/>
    </row>
    <row r="235" spans="3:17" ht="26.25" customHeight="1">
      <c r="C235" s="183" t="s">
        <v>13</v>
      </c>
      <c r="D235" s="1545">
        <v>80892</v>
      </c>
      <c r="E235" s="1545">
        <v>90420</v>
      </c>
      <c r="F235" s="1545">
        <v>6989</v>
      </c>
      <c r="G235" s="1545">
        <v>22427</v>
      </c>
      <c r="H235" s="1545">
        <v>2472</v>
      </c>
      <c r="I235" s="1545">
        <v>24899</v>
      </c>
      <c r="J235" s="1545">
        <v>67993</v>
      </c>
      <c r="K235" s="1545">
        <v>4517</v>
      </c>
      <c r="L235" s="1545">
        <v>72510</v>
      </c>
      <c r="M235" s="1545">
        <v>97409</v>
      </c>
      <c r="N235" s="1545">
        <v>16517</v>
      </c>
      <c r="O235" s="1546">
        <v>0.20418582801760365</v>
      </c>
      <c r="P235" s="46"/>
      <c r="Q235" s="56"/>
    </row>
    <row r="236" spans="3:17" ht="26.25" customHeight="1">
      <c r="C236" s="180" t="s">
        <v>53</v>
      </c>
      <c r="D236" s="1543">
        <v>81500</v>
      </c>
      <c r="E236" s="1543">
        <v>90260</v>
      </c>
      <c r="F236" s="1543">
        <v>6911</v>
      </c>
      <c r="G236" s="1543">
        <v>21202</v>
      </c>
      <c r="H236" s="1543">
        <v>2404</v>
      </c>
      <c r="I236" s="1543">
        <v>23606</v>
      </c>
      <c r="J236" s="1543">
        <v>69058</v>
      </c>
      <c r="K236" s="1543">
        <v>4507</v>
      </c>
      <c r="L236" s="1543">
        <v>73565</v>
      </c>
      <c r="M236" s="1543">
        <v>97171</v>
      </c>
      <c r="N236" s="1543">
        <v>15671</v>
      </c>
      <c r="O236" s="1544">
        <v>0.19228220858895706</v>
      </c>
      <c r="P236" s="46"/>
      <c r="Q236" s="56"/>
    </row>
    <row r="237" spans="3:17" ht="26.25" customHeight="1">
      <c r="C237" s="183" t="s">
        <v>673</v>
      </c>
      <c r="D237" s="1545">
        <v>81500</v>
      </c>
      <c r="E237" s="1545">
        <v>89725</v>
      </c>
      <c r="F237" s="1545">
        <v>6864</v>
      </c>
      <c r="G237" s="1545">
        <v>21476</v>
      </c>
      <c r="H237" s="1545">
        <v>2418</v>
      </c>
      <c r="I237" s="1545">
        <v>23894</v>
      </c>
      <c r="J237" s="1545">
        <v>68249</v>
      </c>
      <c r="K237" s="1545">
        <v>4446</v>
      </c>
      <c r="L237" s="1545">
        <v>72695</v>
      </c>
      <c r="M237" s="1545">
        <v>96589</v>
      </c>
      <c r="N237" s="1545">
        <v>15089</v>
      </c>
      <c r="O237" s="1546">
        <v>0.18514110429447861</v>
      </c>
      <c r="P237" s="46"/>
      <c r="Q237" s="56"/>
    </row>
    <row r="238" spans="3:17" ht="26.25" customHeight="1">
      <c r="C238" s="180" t="s">
        <v>54</v>
      </c>
      <c r="D238" s="1543">
        <v>81524</v>
      </c>
      <c r="E238" s="1543">
        <v>89606</v>
      </c>
      <c r="F238" s="1543">
        <v>6794</v>
      </c>
      <c r="G238" s="1543">
        <v>21707</v>
      </c>
      <c r="H238" s="1543">
        <v>2423</v>
      </c>
      <c r="I238" s="1543">
        <v>24130</v>
      </c>
      <c r="J238" s="1543">
        <v>67899</v>
      </c>
      <c r="K238" s="1543">
        <v>4371</v>
      </c>
      <c r="L238" s="1543">
        <v>72270</v>
      </c>
      <c r="M238" s="1543">
        <v>96400</v>
      </c>
      <c r="N238" s="1543">
        <v>14876</v>
      </c>
      <c r="O238" s="1544">
        <v>0.18247387272459648</v>
      </c>
      <c r="P238" s="46"/>
      <c r="Q238" s="56"/>
    </row>
    <row r="239" spans="3:17" ht="26.25" customHeight="1">
      <c r="C239" s="183" t="s">
        <v>56</v>
      </c>
      <c r="D239" s="1545">
        <v>82326</v>
      </c>
      <c r="E239" s="1545">
        <v>89530</v>
      </c>
      <c r="F239" s="1545">
        <v>6856</v>
      </c>
      <c r="G239" s="1545">
        <v>22036</v>
      </c>
      <c r="H239" s="1545">
        <v>2471</v>
      </c>
      <c r="I239" s="1545">
        <v>24507</v>
      </c>
      <c r="J239" s="1545">
        <v>67494</v>
      </c>
      <c r="K239" s="1545">
        <v>4385</v>
      </c>
      <c r="L239" s="1545">
        <v>71879</v>
      </c>
      <c r="M239" s="1545">
        <v>96386</v>
      </c>
      <c r="N239" s="1545">
        <v>14060</v>
      </c>
      <c r="O239" s="1546">
        <v>0.1707844423389937</v>
      </c>
      <c r="P239" s="46"/>
      <c r="Q239" s="56"/>
    </row>
    <row r="240" spans="3:17" ht="26.25" customHeight="1">
      <c r="C240" s="180" t="s">
        <v>68</v>
      </c>
      <c r="D240" s="1543">
        <v>82326</v>
      </c>
      <c r="E240" s="1543">
        <v>89569</v>
      </c>
      <c r="F240" s="1543">
        <v>6816</v>
      </c>
      <c r="G240" s="1543">
        <v>22066</v>
      </c>
      <c r="H240" s="1543">
        <v>2507</v>
      </c>
      <c r="I240" s="1543">
        <v>24573</v>
      </c>
      <c r="J240" s="1543">
        <v>67503</v>
      </c>
      <c r="K240" s="1543">
        <v>4309</v>
      </c>
      <c r="L240" s="1543">
        <v>71812</v>
      </c>
      <c r="M240" s="1543">
        <v>96385</v>
      </c>
      <c r="N240" s="1543">
        <v>14059</v>
      </c>
      <c r="O240" s="1544">
        <v>0.17077229550810191</v>
      </c>
      <c r="P240" s="46"/>
      <c r="Q240" s="56"/>
    </row>
    <row r="241" spans="3:19" ht="26.25" customHeight="1">
      <c r="C241" s="183" t="s">
        <v>69</v>
      </c>
      <c r="D241" s="1545">
        <v>82326</v>
      </c>
      <c r="E241" s="1545">
        <v>90054</v>
      </c>
      <c r="F241" s="1545">
        <v>6765</v>
      </c>
      <c r="G241" s="1545">
        <v>22305</v>
      </c>
      <c r="H241" s="1545">
        <v>2558</v>
      </c>
      <c r="I241" s="1545">
        <v>24863</v>
      </c>
      <c r="J241" s="1545">
        <v>67749</v>
      </c>
      <c r="K241" s="1545">
        <v>4207</v>
      </c>
      <c r="L241" s="1545">
        <v>71956</v>
      </c>
      <c r="M241" s="1545">
        <v>96819</v>
      </c>
      <c r="N241" s="1545">
        <v>14493</v>
      </c>
      <c r="O241" s="1546">
        <v>0.17604402011515186</v>
      </c>
      <c r="P241" s="46"/>
      <c r="Q241" s="56"/>
    </row>
    <row r="242" spans="3:19" ht="26.25" customHeight="1">
      <c r="C242" s="180" t="s">
        <v>248</v>
      </c>
      <c r="D242" s="1543">
        <v>80429</v>
      </c>
      <c r="E242" s="1543">
        <v>90163</v>
      </c>
      <c r="F242" s="1543">
        <v>6735</v>
      </c>
      <c r="G242" s="1543">
        <v>22560</v>
      </c>
      <c r="H242" s="1543">
        <v>2517</v>
      </c>
      <c r="I242" s="1543">
        <v>25077</v>
      </c>
      <c r="J242" s="1543">
        <v>67603</v>
      </c>
      <c r="K242" s="1543">
        <v>4218</v>
      </c>
      <c r="L242" s="1543">
        <v>71821</v>
      </c>
      <c r="M242" s="1543">
        <v>96898</v>
      </c>
      <c r="N242" s="1543">
        <v>16469</v>
      </c>
      <c r="O242" s="1544">
        <v>0.20476445063347803</v>
      </c>
      <c r="P242" s="46"/>
      <c r="Q242" s="56"/>
    </row>
    <row r="243" spans="3:19" ht="26.25" customHeight="1">
      <c r="C243" s="183" t="s">
        <v>244</v>
      </c>
      <c r="D243" s="1545">
        <v>80429</v>
      </c>
      <c r="E243" s="1545">
        <v>90475</v>
      </c>
      <c r="F243" s="1545">
        <v>6795</v>
      </c>
      <c r="G243" s="1545">
        <v>23016</v>
      </c>
      <c r="H243" s="1545">
        <v>2582</v>
      </c>
      <c r="I243" s="1545">
        <v>25598</v>
      </c>
      <c r="J243" s="1545">
        <v>67459</v>
      </c>
      <c r="K243" s="1545">
        <v>4213</v>
      </c>
      <c r="L243" s="1545">
        <v>71672</v>
      </c>
      <c r="M243" s="1545">
        <v>97270</v>
      </c>
      <c r="N243" s="1545">
        <v>16841</v>
      </c>
      <c r="O243" s="1546">
        <v>0.20938964801253279</v>
      </c>
      <c r="P243" s="46"/>
      <c r="Q243" s="56"/>
    </row>
    <row r="244" spans="3:19" ht="26.25" customHeight="1">
      <c r="C244" s="180" t="s">
        <v>249</v>
      </c>
      <c r="D244" s="1543">
        <v>80429</v>
      </c>
      <c r="E244" s="1543">
        <v>90241</v>
      </c>
      <c r="F244" s="1543">
        <v>6672</v>
      </c>
      <c r="G244" s="1543">
        <v>23012</v>
      </c>
      <c r="H244" s="1543">
        <v>2583</v>
      </c>
      <c r="I244" s="1543">
        <v>25595</v>
      </c>
      <c r="J244" s="1543">
        <v>67229</v>
      </c>
      <c r="K244" s="1543">
        <v>4089</v>
      </c>
      <c r="L244" s="1543">
        <v>71318</v>
      </c>
      <c r="M244" s="1543">
        <v>96913</v>
      </c>
      <c r="N244" s="1543">
        <v>16484</v>
      </c>
      <c r="O244" s="1544">
        <v>0.20495095052779466</v>
      </c>
      <c r="P244" s="46"/>
      <c r="Q244" s="56"/>
    </row>
    <row r="245" spans="3:19" ht="32.25" customHeight="1">
      <c r="C245" s="1987" t="s">
        <v>391</v>
      </c>
      <c r="D245" s="1547">
        <f>AVERAGE(D233:D244)</f>
        <v>81268.833333333328</v>
      </c>
      <c r="E245" s="1547">
        <f t="shared" ref="E245:O245" si="38">AVERAGE(E233:E244)</f>
        <v>90002.916666666672</v>
      </c>
      <c r="F245" s="1547">
        <f t="shared" si="38"/>
        <v>6834.583333333333</v>
      </c>
      <c r="G245" s="1547">
        <f t="shared" si="38"/>
        <v>22016.166666666668</v>
      </c>
      <c r="H245" s="1547">
        <f t="shared" si="38"/>
        <v>2468.25</v>
      </c>
      <c r="I245" s="1547">
        <f t="shared" si="38"/>
        <v>24484.416666666668</v>
      </c>
      <c r="J245" s="1547">
        <f t="shared" si="38"/>
        <v>67986.75</v>
      </c>
      <c r="K245" s="1547">
        <f t="shared" si="38"/>
        <v>4366.333333333333</v>
      </c>
      <c r="L245" s="1547">
        <f t="shared" si="38"/>
        <v>72353.083333333328</v>
      </c>
      <c r="M245" s="1547">
        <f t="shared" si="38"/>
        <v>96837.5</v>
      </c>
      <c r="N245" s="1548">
        <f t="shared" si="38"/>
        <v>15568.666666666666</v>
      </c>
      <c r="O245" s="1549">
        <f t="shared" si="38"/>
        <v>0.191687081542673</v>
      </c>
      <c r="P245" s="46"/>
    </row>
    <row r="246" spans="3:19" ht="32.25" customHeight="1">
      <c r="C246" s="1988"/>
      <c r="D246" s="1990">
        <f>+D245/D245</f>
        <v>1</v>
      </c>
      <c r="E246" s="1550">
        <f>+E245/$M$245</f>
        <v>0.9294221419043931</v>
      </c>
      <c r="F246" s="1550">
        <f>+F245/$M$245</f>
        <v>7.0577858095606905E-2</v>
      </c>
      <c r="G246" s="1550">
        <f>+G245/I245</f>
        <v>0.89919098201917547</v>
      </c>
      <c r="H246" s="1550">
        <f>+H245/I245</f>
        <v>0.10080901798082453</v>
      </c>
      <c r="I246" s="1550">
        <f>+H246+G246</f>
        <v>1</v>
      </c>
      <c r="J246" s="1550">
        <f>+J245/L245</f>
        <v>0.93965242209212463</v>
      </c>
      <c r="K246" s="1550">
        <f>+K245/L245</f>
        <v>6.0347577907875385E-2</v>
      </c>
      <c r="L246" s="1550">
        <f>+K246+J246</f>
        <v>1</v>
      </c>
      <c r="M246" s="1990">
        <f>+J247+G247</f>
        <v>1</v>
      </c>
      <c r="N246" s="1551"/>
      <c r="O246" s="1549"/>
      <c r="P246" s="46"/>
    </row>
    <row r="247" spans="3:19" ht="32.25" customHeight="1" thickBot="1">
      <c r="C247" s="1989"/>
      <c r="D247" s="1991"/>
      <c r="E247" s="1992">
        <f>+F246+E246</f>
        <v>1</v>
      </c>
      <c r="F247" s="1993"/>
      <c r="G247" s="1992">
        <f>+I245/M245</f>
        <v>0.25284023923239107</v>
      </c>
      <c r="H247" s="1994"/>
      <c r="I247" s="1993"/>
      <c r="J247" s="1992">
        <f>+L245/M245</f>
        <v>0.74715976076760893</v>
      </c>
      <c r="K247" s="1994"/>
      <c r="L247" s="1993"/>
      <c r="M247" s="1991"/>
      <c r="N247" s="1552"/>
      <c r="O247" s="1553"/>
      <c r="P247" s="46"/>
    </row>
    <row r="248" spans="3:19">
      <c r="O248" s="34"/>
      <c r="P248" s="34"/>
    </row>
    <row r="252" spans="3:19" ht="13.5" thickBot="1"/>
    <row r="253" spans="3:19" ht="47.25" customHeight="1">
      <c r="C253" s="1996" t="s">
        <v>675</v>
      </c>
      <c r="D253" s="1999" t="s">
        <v>87</v>
      </c>
      <c r="E253" s="2002" t="s">
        <v>836</v>
      </c>
      <c r="F253" s="2002"/>
      <c r="G253" s="2002" t="s">
        <v>235</v>
      </c>
      <c r="H253" s="2002"/>
      <c r="I253" s="2002"/>
      <c r="J253" s="2002"/>
      <c r="K253" s="2002"/>
      <c r="L253" s="2002"/>
      <c r="M253" s="1999" t="s">
        <v>400</v>
      </c>
      <c r="N253" s="1980" t="s">
        <v>399</v>
      </c>
      <c r="O253" s="1983" t="s">
        <v>398</v>
      </c>
      <c r="P253" s="41"/>
    </row>
    <row r="254" spans="3:19" ht="42.75" customHeight="1">
      <c r="C254" s="1997"/>
      <c r="D254" s="2000"/>
      <c r="E254" s="2003"/>
      <c r="F254" s="2003"/>
      <c r="G254" s="1986" t="s">
        <v>74</v>
      </c>
      <c r="H254" s="1986"/>
      <c r="I254" s="1981" t="s">
        <v>119</v>
      </c>
      <c r="J254" s="1986" t="s">
        <v>76</v>
      </c>
      <c r="K254" s="1986"/>
      <c r="L254" s="1981" t="s">
        <v>119</v>
      </c>
      <c r="M254" s="2000"/>
      <c r="N254" s="1981"/>
      <c r="O254" s="1984"/>
      <c r="P254" s="41"/>
    </row>
    <row r="255" spans="3:19" ht="42.75" customHeight="1">
      <c r="C255" s="1998"/>
      <c r="D255" s="2001"/>
      <c r="E255" s="606" t="s">
        <v>44</v>
      </c>
      <c r="F255" s="606" t="s">
        <v>45</v>
      </c>
      <c r="G255" s="606" t="s">
        <v>44</v>
      </c>
      <c r="H255" s="606" t="s">
        <v>45</v>
      </c>
      <c r="I255" s="1982"/>
      <c r="J255" s="606" t="s">
        <v>44</v>
      </c>
      <c r="K255" s="606" t="s">
        <v>45</v>
      </c>
      <c r="L255" s="1982"/>
      <c r="M255" s="2001"/>
      <c r="N255" s="1982"/>
      <c r="O255" s="1985"/>
      <c r="P255" s="41"/>
    </row>
    <row r="256" spans="3:19" ht="32.25" customHeight="1">
      <c r="C256" s="980">
        <v>2017</v>
      </c>
      <c r="D256" s="196">
        <v>79211</v>
      </c>
      <c r="E256" s="196">
        <v>107136</v>
      </c>
      <c r="F256" s="196">
        <v>7614</v>
      </c>
      <c r="G256" s="196">
        <v>33776</v>
      </c>
      <c r="H256" s="196">
        <v>3001</v>
      </c>
      <c r="I256" s="196">
        <v>36777</v>
      </c>
      <c r="J256" s="196">
        <v>73360</v>
      </c>
      <c r="K256" s="196">
        <v>4613</v>
      </c>
      <c r="L256" s="196">
        <v>77973</v>
      </c>
      <c r="M256" s="196">
        <v>114750</v>
      </c>
      <c r="N256" s="196">
        <v>35539</v>
      </c>
      <c r="O256" s="197">
        <v>0.44900000000000001</v>
      </c>
      <c r="P256" s="46"/>
      <c r="Q256" s="56"/>
      <c r="R256" s="976">
        <v>114750</v>
      </c>
      <c r="S256" s="566"/>
    </row>
    <row r="257" spans="3:22" ht="32.25" customHeight="1">
      <c r="C257" s="979">
        <v>2018</v>
      </c>
      <c r="D257" s="194">
        <v>80227</v>
      </c>
      <c r="E257" s="194">
        <v>110294</v>
      </c>
      <c r="F257" s="194">
        <v>8219</v>
      </c>
      <c r="G257" s="194">
        <v>36099</v>
      </c>
      <c r="H257" s="194">
        <v>3950</v>
      </c>
      <c r="I257" s="194">
        <v>40049</v>
      </c>
      <c r="J257" s="194">
        <v>74195</v>
      </c>
      <c r="K257" s="194">
        <v>4269</v>
      </c>
      <c r="L257" s="194">
        <v>78464</v>
      </c>
      <c r="M257" s="194">
        <v>118513</v>
      </c>
      <c r="N257" s="194">
        <v>38286</v>
      </c>
      <c r="O257" s="195">
        <v>0.47699999999999998</v>
      </c>
      <c r="P257" s="46"/>
      <c r="Q257" s="56"/>
      <c r="R257" s="977">
        <v>118513</v>
      </c>
      <c r="S257" s="567"/>
    </row>
    <row r="258" spans="3:22" ht="32.25" customHeight="1">
      <c r="C258" s="980">
        <v>2019</v>
      </c>
      <c r="D258" s="196">
        <v>80260</v>
      </c>
      <c r="E258" s="196">
        <v>115045</v>
      </c>
      <c r="F258" s="196">
        <v>8757</v>
      </c>
      <c r="G258" s="196">
        <v>37563</v>
      </c>
      <c r="H258" s="196">
        <v>3634</v>
      </c>
      <c r="I258" s="196">
        <v>41197</v>
      </c>
      <c r="J258" s="196">
        <v>77482</v>
      </c>
      <c r="K258" s="196">
        <v>5123</v>
      </c>
      <c r="L258" s="196">
        <v>82605</v>
      </c>
      <c r="M258" s="196">
        <v>123802</v>
      </c>
      <c r="N258" s="196">
        <v>43542</v>
      </c>
      <c r="O258" s="197">
        <v>0.54300000000000004</v>
      </c>
      <c r="P258" s="46"/>
      <c r="Q258" s="56"/>
      <c r="R258" s="976">
        <v>123802</v>
      </c>
      <c r="S258" s="566"/>
    </row>
    <row r="259" spans="3:22" ht="32.25" customHeight="1">
      <c r="C259" s="979">
        <v>2020</v>
      </c>
      <c r="D259" s="194">
        <v>80683</v>
      </c>
      <c r="E259" s="194">
        <v>89445</v>
      </c>
      <c r="F259" s="194">
        <v>6840</v>
      </c>
      <c r="G259" s="194">
        <v>20513</v>
      </c>
      <c r="H259" s="194">
        <v>2688</v>
      </c>
      <c r="I259" s="194">
        <v>23201</v>
      </c>
      <c r="J259" s="194">
        <v>68932</v>
      </c>
      <c r="K259" s="194">
        <v>4152</v>
      </c>
      <c r="L259" s="194">
        <v>73084</v>
      </c>
      <c r="M259" s="194">
        <v>96285</v>
      </c>
      <c r="N259" s="194">
        <v>15602</v>
      </c>
      <c r="O259" s="182">
        <v>0.193</v>
      </c>
      <c r="P259" s="46"/>
      <c r="Q259" s="56"/>
      <c r="R259" s="978">
        <v>96285</v>
      </c>
      <c r="S259" s="568"/>
    </row>
    <row r="260" spans="3:22" ht="32.25" customHeight="1">
      <c r="C260" s="980">
        <v>2121</v>
      </c>
      <c r="D260" s="196">
        <f>+D244</f>
        <v>80429</v>
      </c>
      <c r="E260" s="196">
        <f t="shared" ref="E260:O260" si="39">+E244</f>
        <v>90241</v>
      </c>
      <c r="F260" s="196">
        <f t="shared" si="39"/>
        <v>6672</v>
      </c>
      <c r="G260" s="196">
        <f t="shared" si="39"/>
        <v>23012</v>
      </c>
      <c r="H260" s="196">
        <f t="shared" si="39"/>
        <v>2583</v>
      </c>
      <c r="I260" s="196">
        <f t="shared" si="39"/>
        <v>25595</v>
      </c>
      <c r="J260" s="196">
        <f t="shared" si="39"/>
        <v>67229</v>
      </c>
      <c r="K260" s="196">
        <f t="shared" si="39"/>
        <v>4089</v>
      </c>
      <c r="L260" s="196">
        <f t="shared" si="39"/>
        <v>71318</v>
      </c>
      <c r="M260" s="196">
        <f t="shared" si="39"/>
        <v>96913</v>
      </c>
      <c r="N260" s="196">
        <f t="shared" si="39"/>
        <v>16484</v>
      </c>
      <c r="O260" s="197">
        <f t="shared" si="39"/>
        <v>0.20495095052779466</v>
      </c>
      <c r="P260" s="46"/>
      <c r="Q260" s="56"/>
      <c r="R260" s="976"/>
      <c r="S260" s="566"/>
    </row>
    <row r="261" spans="3:22" ht="32.25" customHeight="1">
      <c r="C261" s="1987" t="s">
        <v>391</v>
      </c>
      <c r="D261" s="588">
        <f>AVERAGE(D256:D260)</f>
        <v>80162</v>
      </c>
      <c r="E261" s="588">
        <f t="shared" ref="E261:O261" si="40">AVERAGE(E256:E260)</f>
        <v>102432.2</v>
      </c>
      <c r="F261" s="588">
        <f t="shared" si="40"/>
        <v>7620.4</v>
      </c>
      <c r="G261" s="588">
        <f t="shared" si="40"/>
        <v>30192.6</v>
      </c>
      <c r="H261" s="588">
        <f t="shared" si="40"/>
        <v>3171.2</v>
      </c>
      <c r="I261" s="588">
        <f t="shared" si="40"/>
        <v>33363.800000000003</v>
      </c>
      <c r="J261" s="588">
        <f t="shared" si="40"/>
        <v>72239.600000000006</v>
      </c>
      <c r="K261" s="588">
        <f t="shared" si="40"/>
        <v>4449.2</v>
      </c>
      <c r="L261" s="588">
        <f t="shared" si="40"/>
        <v>76688.800000000003</v>
      </c>
      <c r="M261" s="588">
        <f t="shared" si="40"/>
        <v>110052.6</v>
      </c>
      <c r="N261" s="589">
        <f t="shared" si="40"/>
        <v>29890.6</v>
      </c>
      <c r="O261" s="590">
        <f t="shared" si="40"/>
        <v>0.37339019010555891</v>
      </c>
      <c r="P261" s="46"/>
    </row>
    <row r="262" spans="3:22" ht="32.25" customHeight="1">
      <c r="C262" s="1988"/>
      <c r="D262" s="1990">
        <f>+D261/D261</f>
        <v>1</v>
      </c>
      <c r="E262" s="591">
        <f>+E261/M261</f>
        <v>0.93075674722814361</v>
      </c>
      <c r="F262" s="591">
        <f>+F261/M261</f>
        <v>6.9243252771856362E-2</v>
      </c>
      <c r="G262" s="591">
        <f>+G261/I261</f>
        <v>0.90495087490034098</v>
      </c>
      <c r="H262" s="591">
        <f>+H261/I261</f>
        <v>9.5049125099658904E-2</v>
      </c>
      <c r="I262" s="591">
        <f>+H262+G262</f>
        <v>0.99999999999999989</v>
      </c>
      <c r="J262" s="591">
        <f>+J261/L261</f>
        <v>0.94198370557369526</v>
      </c>
      <c r="K262" s="591">
        <f>+K261/L261</f>
        <v>5.8016294426304751E-2</v>
      </c>
      <c r="L262" s="591">
        <f>+K262+J262</f>
        <v>1</v>
      </c>
      <c r="M262" s="1990">
        <f>+J263+G263</f>
        <v>1</v>
      </c>
      <c r="N262" s="592"/>
      <c r="O262" s="590"/>
      <c r="P262" s="46"/>
      <c r="V262" s="34" t="s">
        <v>674</v>
      </c>
    </row>
    <row r="263" spans="3:22" ht="32.25" customHeight="1" thickBot="1">
      <c r="C263" s="1989"/>
      <c r="D263" s="1991"/>
      <c r="E263" s="1992">
        <f>+F262+E262</f>
        <v>1</v>
      </c>
      <c r="F263" s="1993"/>
      <c r="G263" s="1992">
        <f>+I261/M261</f>
        <v>0.30316230602457372</v>
      </c>
      <c r="H263" s="1994"/>
      <c r="I263" s="1993"/>
      <c r="J263" s="1992">
        <f>+L261/M261</f>
        <v>0.69683769397542628</v>
      </c>
      <c r="K263" s="1994"/>
      <c r="L263" s="1993"/>
      <c r="M263" s="1991"/>
      <c r="N263" s="593"/>
      <c r="O263" s="594"/>
      <c r="P263" s="46"/>
    </row>
    <row r="268" spans="3:22">
      <c r="D268" s="1979"/>
      <c r="E268" s="1979"/>
      <c r="F268" s="1979"/>
      <c r="G268" s="1979"/>
      <c r="H268" s="1979"/>
      <c r="I268" s="1979"/>
      <c r="J268" s="1979"/>
      <c r="K268" s="1979"/>
      <c r="L268" s="1979"/>
      <c r="M268" s="1979"/>
      <c r="N268" s="1979"/>
      <c r="O268" s="1979"/>
    </row>
    <row r="269" spans="3:22">
      <c r="D269" s="1979"/>
      <c r="E269" s="1979"/>
      <c r="F269" s="1979"/>
      <c r="G269" s="1979"/>
      <c r="H269" s="1979"/>
      <c r="I269" s="1979"/>
      <c r="J269" s="1979"/>
      <c r="K269" s="1979"/>
      <c r="L269" s="1979"/>
      <c r="M269" s="1979"/>
      <c r="N269" s="1979"/>
      <c r="O269" s="1979"/>
    </row>
  </sheetData>
  <mergeCells count="140">
    <mergeCell ref="C20:N20"/>
    <mergeCell ref="M16:M17"/>
    <mergeCell ref="C16:C17"/>
    <mergeCell ref="D16:D17"/>
    <mergeCell ref="E17:F17"/>
    <mergeCell ref="G17:I17"/>
    <mergeCell ref="J17:L17"/>
    <mergeCell ref="N6:N8"/>
    <mergeCell ref="O6:O8"/>
    <mergeCell ref="C3:L3"/>
    <mergeCell ref="C4:P4"/>
    <mergeCell ref="C6:C8"/>
    <mergeCell ref="D6:D8"/>
    <mergeCell ref="E6:F7"/>
    <mergeCell ref="G6:L6"/>
    <mergeCell ref="G7:H7"/>
    <mergeCell ref="I7:I8"/>
    <mergeCell ref="J7:K7"/>
    <mergeCell ref="L7:L8"/>
    <mergeCell ref="M6:M8"/>
    <mergeCell ref="O199:O201"/>
    <mergeCell ref="C197:P197"/>
    <mergeCell ref="C199:C201"/>
    <mergeCell ref="D199:D201"/>
    <mergeCell ref="E199:F200"/>
    <mergeCell ref="G199:L199"/>
    <mergeCell ref="M199:M201"/>
    <mergeCell ref="G200:H200"/>
    <mergeCell ref="I200:I201"/>
    <mergeCell ref="J200:K200"/>
    <mergeCell ref="L200:L201"/>
    <mergeCell ref="N199:N201"/>
    <mergeCell ref="O169:O171"/>
    <mergeCell ref="C167:P167"/>
    <mergeCell ref="C169:C171"/>
    <mergeCell ref="D169:D171"/>
    <mergeCell ref="E169:F170"/>
    <mergeCell ref="G169:L169"/>
    <mergeCell ref="M169:M171"/>
    <mergeCell ref="G170:H170"/>
    <mergeCell ref="I170:I171"/>
    <mergeCell ref="J170:K170"/>
    <mergeCell ref="L170:L171"/>
    <mergeCell ref="N169:N171"/>
    <mergeCell ref="N144:N146"/>
    <mergeCell ref="O144:O146"/>
    <mergeCell ref="C141:L141"/>
    <mergeCell ref="C142:P142"/>
    <mergeCell ref="C144:C146"/>
    <mergeCell ref="D144:D146"/>
    <mergeCell ref="E144:F145"/>
    <mergeCell ref="G144:L144"/>
    <mergeCell ref="G145:H145"/>
    <mergeCell ref="I145:I146"/>
    <mergeCell ref="J145:K145"/>
    <mergeCell ref="L145:L146"/>
    <mergeCell ref="M144:M146"/>
    <mergeCell ref="O120:O122"/>
    <mergeCell ref="C118:P118"/>
    <mergeCell ref="C120:C122"/>
    <mergeCell ref="D120:D122"/>
    <mergeCell ref="E120:F121"/>
    <mergeCell ref="G120:L120"/>
    <mergeCell ref="M120:M122"/>
    <mergeCell ref="G121:H121"/>
    <mergeCell ref="I121:I122"/>
    <mergeCell ref="J121:K121"/>
    <mergeCell ref="L121:L122"/>
    <mergeCell ref="N120:N122"/>
    <mergeCell ref="O22:O24"/>
    <mergeCell ref="G23:H23"/>
    <mergeCell ref="I23:I24"/>
    <mergeCell ref="J23:K23"/>
    <mergeCell ref="L23:L24"/>
    <mergeCell ref="O87:O89"/>
    <mergeCell ref="C85:P85"/>
    <mergeCell ref="C87:C89"/>
    <mergeCell ref="D87:D89"/>
    <mergeCell ref="E87:F88"/>
    <mergeCell ref="G87:L87"/>
    <mergeCell ref="M87:M89"/>
    <mergeCell ref="G88:H88"/>
    <mergeCell ref="I88:I89"/>
    <mergeCell ref="J88:K88"/>
    <mergeCell ref="L88:L89"/>
    <mergeCell ref="N87:N89"/>
    <mergeCell ref="N230:N232"/>
    <mergeCell ref="O230:O232"/>
    <mergeCell ref="G231:H231"/>
    <mergeCell ref="I231:I232"/>
    <mergeCell ref="J231:K231"/>
    <mergeCell ref="L231:L232"/>
    <mergeCell ref="C22:C24"/>
    <mergeCell ref="D22:D24"/>
    <mergeCell ref="E22:F23"/>
    <mergeCell ref="G22:L22"/>
    <mergeCell ref="M22:M24"/>
    <mergeCell ref="N22:N24"/>
    <mergeCell ref="M35:M37"/>
    <mergeCell ref="N35:N37"/>
    <mergeCell ref="O35:O37"/>
    <mergeCell ref="C33:P33"/>
    <mergeCell ref="C35:C37"/>
    <mergeCell ref="D35:D37"/>
    <mergeCell ref="E35:F36"/>
    <mergeCell ref="G36:H36"/>
    <mergeCell ref="I36:I37"/>
    <mergeCell ref="J36:K36"/>
    <mergeCell ref="L36:L37"/>
    <mergeCell ref="G35:L35"/>
    <mergeCell ref="D246:D247"/>
    <mergeCell ref="M246:M247"/>
    <mergeCell ref="E247:F247"/>
    <mergeCell ref="G247:I247"/>
    <mergeCell ref="J247:L247"/>
    <mergeCell ref="C245:C247"/>
    <mergeCell ref="D226:M227"/>
    <mergeCell ref="C253:C255"/>
    <mergeCell ref="D253:D255"/>
    <mergeCell ref="E253:F254"/>
    <mergeCell ref="G253:L253"/>
    <mergeCell ref="M253:M255"/>
    <mergeCell ref="C230:C232"/>
    <mergeCell ref="D230:D232"/>
    <mergeCell ref="E230:F231"/>
    <mergeCell ref="G230:L230"/>
    <mergeCell ref="M230:M232"/>
    <mergeCell ref="D268:O269"/>
    <mergeCell ref="N253:N255"/>
    <mergeCell ref="O253:O255"/>
    <mergeCell ref="G254:H254"/>
    <mergeCell ref="I254:I255"/>
    <mergeCell ref="J254:K254"/>
    <mergeCell ref="L254:L255"/>
    <mergeCell ref="C261:C263"/>
    <mergeCell ref="D262:D263"/>
    <mergeCell ref="M262:M263"/>
    <mergeCell ref="E263:F263"/>
    <mergeCell ref="G263:I263"/>
    <mergeCell ref="J263:L263"/>
  </mergeCells>
  <pageMargins left="0.11811023622047245" right="0" top="0.74803149606299213" bottom="0.74803149606299213" header="0.31496062992125984" footer="0.31496062992125984"/>
  <pageSetup scale="60" orientation="landscape" r:id="rId1"/>
  <ignoredErrors>
    <ignoredError sqref="D113:O113" evalError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X168"/>
  <sheetViews>
    <sheetView showGridLines="0" zoomScale="50" zoomScaleNormal="50" workbookViewId="0">
      <selection activeCell="C20" sqref="C20"/>
    </sheetView>
  </sheetViews>
  <sheetFormatPr baseColWidth="10" defaultRowHeight="25.5"/>
  <cols>
    <col min="1" max="1" width="25.42578125" style="833" customWidth="1"/>
    <col min="2" max="14" width="19.140625" style="833" customWidth="1"/>
    <col min="15" max="15" width="16.28515625" style="833" bestFit="1" customWidth="1"/>
    <col min="16" max="16" width="29.140625" style="833" customWidth="1"/>
    <col min="17" max="16384" width="11.42578125" style="833"/>
  </cols>
  <sheetData>
    <row r="3" spans="1:24" ht="31.5" customHeight="1">
      <c r="A3" s="2056" t="s">
        <v>688</v>
      </c>
      <c r="B3" s="2056"/>
      <c r="C3" s="2056"/>
      <c r="D3" s="2056"/>
      <c r="E3" s="2056"/>
      <c r="F3" s="2056"/>
      <c r="G3" s="2056"/>
      <c r="H3" s="2056"/>
    </row>
    <row r="4" spans="1:24" ht="26.25" thickBot="1">
      <c r="A4" s="834"/>
      <c r="B4" s="834"/>
      <c r="C4" s="834"/>
      <c r="D4" s="834"/>
      <c r="E4" s="834"/>
      <c r="F4" s="834"/>
      <c r="G4" s="834"/>
      <c r="H4" s="834"/>
    </row>
    <row r="5" spans="1:24" ht="34.5" customHeight="1">
      <c r="A5" s="612" t="s">
        <v>314</v>
      </c>
      <c r="B5" s="613" t="s">
        <v>252</v>
      </c>
      <c r="C5" s="613" t="s">
        <v>253</v>
      </c>
      <c r="D5" s="613" t="s">
        <v>254</v>
      </c>
      <c r="E5" s="613" t="s">
        <v>255</v>
      </c>
      <c r="F5" s="613" t="s">
        <v>256</v>
      </c>
      <c r="G5" s="613" t="s">
        <v>257</v>
      </c>
      <c r="H5" s="613" t="s">
        <v>258</v>
      </c>
      <c r="I5" s="613" t="s">
        <v>259</v>
      </c>
      <c r="J5" s="613" t="s">
        <v>260</v>
      </c>
      <c r="K5" s="613" t="s">
        <v>261</v>
      </c>
      <c r="L5" s="613" t="s">
        <v>240</v>
      </c>
      <c r="M5" s="613" t="s">
        <v>241</v>
      </c>
      <c r="N5" s="614" t="s">
        <v>405</v>
      </c>
    </row>
    <row r="6" spans="1:24" ht="31.5" customHeight="1">
      <c r="A6" s="615" t="s">
        <v>236</v>
      </c>
      <c r="B6" s="616">
        <f>+$H14+$H35+$H56</f>
        <v>1753</v>
      </c>
      <c r="C6" s="616">
        <f>+H15+H36+H57</f>
        <v>1809</v>
      </c>
      <c r="D6" s="616">
        <f>+$H16+$H37+$H58</f>
        <v>1807</v>
      </c>
      <c r="E6" s="616">
        <f>+$H17+$H38+$H59</f>
        <v>1792</v>
      </c>
      <c r="F6" s="616">
        <f>+$H18+$H39+$H60</f>
        <v>1775</v>
      </c>
      <c r="G6" s="616">
        <f>+$H19+$H40+$H61</f>
        <v>1759</v>
      </c>
      <c r="H6" s="616">
        <f>+$H20+$H41+$H62</f>
        <v>1724</v>
      </c>
      <c r="I6" s="616">
        <f>+$H21+$H42+$H63</f>
        <v>1715</v>
      </c>
      <c r="J6" s="616">
        <f>+$H22+$H43+$H64</f>
        <v>1715</v>
      </c>
      <c r="K6" s="616">
        <f>+$H23+$H44+$H65</f>
        <v>1705</v>
      </c>
      <c r="L6" s="616">
        <f>+$H24+$H45+$H66</f>
        <v>1713</v>
      </c>
      <c r="M6" s="616">
        <f>+$H25+$H46+$H67</f>
        <v>1749</v>
      </c>
      <c r="N6" s="860">
        <f>AVERAGE(B6:M6)</f>
        <v>1751.3333333333333</v>
      </c>
      <c r="O6" s="835"/>
    </row>
    <row r="7" spans="1:24" ht="31.5" customHeight="1">
      <c r="A7" s="617" t="s">
        <v>234</v>
      </c>
      <c r="B7" s="618">
        <f>+I14+I35+I56</f>
        <v>234</v>
      </c>
      <c r="C7" s="618">
        <f>+I15+I36+I57</f>
        <v>236</v>
      </c>
      <c r="D7" s="618">
        <f>+$I16+$I37+$I58</f>
        <v>237</v>
      </c>
      <c r="E7" s="618">
        <f>+$I17+$I38+$I59</f>
        <v>228</v>
      </c>
      <c r="F7" s="618">
        <f>+$I18+$I39+$I60</f>
        <v>226</v>
      </c>
      <c r="G7" s="618">
        <f>+$I19+$I40+$I61</f>
        <v>226</v>
      </c>
      <c r="H7" s="618">
        <f>+$I20+$I41+$I62</f>
        <v>226</v>
      </c>
      <c r="I7" s="618">
        <f>+$I21+$I42+$I63</f>
        <v>223</v>
      </c>
      <c r="J7" s="618">
        <f>+$I22+$I43+$I64</f>
        <v>221</v>
      </c>
      <c r="K7" s="618">
        <f>+$I23+$I44+$I65</f>
        <v>230</v>
      </c>
      <c r="L7" s="618">
        <f>+$I24+$I45+$I66</f>
        <v>237</v>
      </c>
      <c r="M7" s="618">
        <f>+$I25+$I46+$I67</f>
        <v>251</v>
      </c>
      <c r="N7" s="861">
        <f>AVERAGE(B7:M7)</f>
        <v>231.25</v>
      </c>
    </row>
    <row r="8" spans="1:24" ht="34.5" customHeight="1" thickBot="1">
      <c r="A8" s="619" t="s">
        <v>6</v>
      </c>
      <c r="B8" s="620">
        <f t="shared" ref="B8:H8" si="0">SUM(B6:B7)</f>
        <v>1987</v>
      </c>
      <c r="C8" s="620">
        <f t="shared" si="0"/>
        <v>2045</v>
      </c>
      <c r="D8" s="620">
        <f t="shared" si="0"/>
        <v>2044</v>
      </c>
      <c r="E8" s="620">
        <f t="shared" si="0"/>
        <v>2020</v>
      </c>
      <c r="F8" s="620">
        <f t="shared" si="0"/>
        <v>2001</v>
      </c>
      <c r="G8" s="620">
        <f t="shared" si="0"/>
        <v>1985</v>
      </c>
      <c r="H8" s="620">
        <f t="shared" si="0"/>
        <v>1950</v>
      </c>
      <c r="I8" s="620">
        <f>SUM(I6:I7)</f>
        <v>1938</v>
      </c>
      <c r="J8" s="620">
        <f>SUM(J6:J7)</f>
        <v>1936</v>
      </c>
      <c r="K8" s="620">
        <f>SUM(K6:K7)</f>
        <v>1935</v>
      </c>
      <c r="L8" s="620">
        <f>SUM(L6:L7)</f>
        <v>1950</v>
      </c>
      <c r="M8" s="620">
        <f>SUM(M6:M7)</f>
        <v>2000</v>
      </c>
      <c r="N8" s="862">
        <f>AVERAGE(B8:M8)</f>
        <v>1982.5833333333333</v>
      </c>
    </row>
    <row r="10" spans="1:24">
      <c r="B10" s="833" t="s">
        <v>617</v>
      </c>
    </row>
    <row r="11" spans="1:24" ht="26.25" thickBot="1"/>
    <row r="12" spans="1:24" s="690" customFormat="1" ht="26.25" customHeight="1">
      <c r="A12" s="2048" t="s">
        <v>21</v>
      </c>
      <c r="B12" s="2054" t="s">
        <v>8</v>
      </c>
      <c r="C12" s="2052"/>
      <c r="D12" s="2053"/>
      <c r="E12" s="2054" t="s">
        <v>9</v>
      </c>
      <c r="F12" s="2052"/>
      <c r="G12" s="2053"/>
      <c r="H12" s="2051" t="s">
        <v>625</v>
      </c>
      <c r="I12" s="2052"/>
      <c r="J12" s="2055"/>
      <c r="K12" s="837"/>
      <c r="L12" s="836"/>
      <c r="M12" s="836"/>
      <c r="N12" s="836"/>
      <c r="O12" s="836"/>
      <c r="P12" s="836"/>
      <c r="Q12" s="836"/>
      <c r="R12" s="836"/>
      <c r="S12" s="836"/>
      <c r="T12" s="836"/>
      <c r="U12" s="836"/>
      <c r="V12" s="836"/>
      <c r="W12" s="836"/>
      <c r="X12" s="836"/>
    </row>
    <row r="13" spans="1:24" s="690" customFormat="1" ht="26.25" customHeight="1" thickBot="1">
      <c r="A13" s="2049"/>
      <c r="B13" s="838" t="s">
        <v>44</v>
      </c>
      <c r="C13" s="838" t="s">
        <v>45</v>
      </c>
      <c r="D13" s="838" t="s">
        <v>6</v>
      </c>
      <c r="E13" s="838" t="s">
        <v>44</v>
      </c>
      <c r="F13" s="838" t="s">
        <v>45</v>
      </c>
      <c r="G13" s="838" t="s">
        <v>6</v>
      </c>
      <c r="H13" s="838" t="s">
        <v>44</v>
      </c>
      <c r="I13" s="838" t="s">
        <v>45</v>
      </c>
      <c r="J13" s="856" t="s">
        <v>6</v>
      </c>
      <c r="K13" s="839"/>
      <c r="L13" s="840"/>
      <c r="M13" s="836"/>
      <c r="N13" s="836"/>
      <c r="O13" s="836"/>
      <c r="P13" s="836"/>
      <c r="Q13" s="836"/>
      <c r="R13" s="836"/>
      <c r="S13" s="836"/>
      <c r="T13" s="836"/>
      <c r="U13" s="836"/>
      <c r="V13" s="836"/>
      <c r="W13" s="836"/>
      <c r="X13" s="836"/>
    </row>
    <row r="14" spans="1:24" s="690" customFormat="1" ht="26.25" customHeight="1">
      <c r="A14" s="850" t="s">
        <v>612</v>
      </c>
      <c r="B14" s="845">
        <v>670</v>
      </c>
      <c r="C14" s="845">
        <v>84</v>
      </c>
      <c r="D14" s="845">
        <f>SUM(B14:C14)</f>
        <v>754</v>
      </c>
      <c r="E14" s="845">
        <v>675</v>
      </c>
      <c r="F14" s="845">
        <v>76</v>
      </c>
      <c r="G14" s="845">
        <f>SUM(E14:F14)</f>
        <v>751</v>
      </c>
      <c r="H14" s="845">
        <f t="shared" ref="H14:I16" si="1">+B14+E14</f>
        <v>1345</v>
      </c>
      <c r="I14" s="845">
        <f t="shared" si="1"/>
        <v>160</v>
      </c>
      <c r="J14" s="857">
        <f>SUM(H14:I14)</f>
        <v>1505</v>
      </c>
      <c r="K14" s="841"/>
      <c r="L14" s="842"/>
      <c r="M14" s="843"/>
      <c r="N14" s="843"/>
      <c r="O14" s="843"/>
      <c r="P14" s="843"/>
      <c r="Q14" s="843"/>
      <c r="R14" s="843"/>
      <c r="S14" s="843"/>
      <c r="T14" s="843"/>
      <c r="U14" s="843"/>
      <c r="V14" s="843"/>
      <c r="W14" s="843"/>
      <c r="X14" s="843"/>
    </row>
    <row r="15" spans="1:24" s="690" customFormat="1" ht="26.25" customHeight="1">
      <c r="A15" s="851" t="s">
        <v>12</v>
      </c>
      <c r="B15" s="846">
        <v>673</v>
      </c>
      <c r="C15" s="846">
        <v>81</v>
      </c>
      <c r="D15" s="846">
        <f t="shared" ref="D15:D25" si="2">SUM(B15:C15)</f>
        <v>754</v>
      </c>
      <c r="E15" s="846">
        <v>713</v>
      </c>
      <c r="F15" s="846">
        <v>77</v>
      </c>
      <c r="G15" s="846">
        <f t="shared" ref="G15:G25" si="3">SUM(E15:F15)</f>
        <v>790</v>
      </c>
      <c r="H15" s="846">
        <f t="shared" si="1"/>
        <v>1386</v>
      </c>
      <c r="I15" s="846">
        <f t="shared" si="1"/>
        <v>158</v>
      </c>
      <c r="J15" s="858">
        <f>SUM(H15:I15)</f>
        <v>1544</v>
      </c>
      <c r="K15" s="841"/>
      <c r="L15" s="842"/>
      <c r="M15" s="843"/>
      <c r="N15" s="843"/>
      <c r="O15" s="843"/>
      <c r="P15" s="843"/>
      <c r="Q15" s="843"/>
      <c r="R15" s="843"/>
      <c r="S15" s="843"/>
      <c r="T15" s="843"/>
      <c r="U15" s="843"/>
      <c r="V15" s="843"/>
      <c r="W15" s="843"/>
      <c r="X15" s="843"/>
    </row>
    <row r="16" spans="1:24" s="690" customFormat="1" ht="26.25" customHeight="1">
      <c r="A16" s="850" t="s">
        <v>13</v>
      </c>
      <c r="B16" s="845">
        <v>637</v>
      </c>
      <c r="C16" s="845">
        <v>78</v>
      </c>
      <c r="D16" s="845">
        <f t="shared" si="2"/>
        <v>715</v>
      </c>
      <c r="E16" s="845">
        <v>732</v>
      </c>
      <c r="F16" s="845">
        <v>81</v>
      </c>
      <c r="G16" s="845">
        <f t="shared" si="3"/>
        <v>813</v>
      </c>
      <c r="H16" s="845">
        <f t="shared" si="1"/>
        <v>1369</v>
      </c>
      <c r="I16" s="845">
        <f t="shared" si="1"/>
        <v>159</v>
      </c>
      <c r="J16" s="857">
        <f>SUM(H16:I16)</f>
        <v>1528</v>
      </c>
      <c r="K16" s="841"/>
      <c r="L16" s="842"/>
      <c r="M16" s="843"/>
      <c r="N16" s="843"/>
      <c r="O16" s="843"/>
      <c r="P16" s="843"/>
      <c r="Q16" s="843"/>
      <c r="R16" s="843"/>
      <c r="S16" s="843"/>
      <c r="T16" s="843"/>
      <c r="U16" s="843"/>
      <c r="V16" s="843"/>
      <c r="W16" s="843"/>
      <c r="X16" s="843"/>
    </row>
    <row r="17" spans="1:24" s="690" customFormat="1" ht="26.25" customHeight="1">
      <c r="A17" s="851" t="s">
        <v>53</v>
      </c>
      <c r="B17" s="846">
        <v>617</v>
      </c>
      <c r="C17" s="846">
        <v>76</v>
      </c>
      <c r="D17" s="846">
        <f t="shared" si="2"/>
        <v>693</v>
      </c>
      <c r="E17" s="846">
        <v>730</v>
      </c>
      <c r="F17" s="846">
        <v>74</v>
      </c>
      <c r="G17" s="846">
        <f t="shared" si="3"/>
        <v>804</v>
      </c>
      <c r="H17" s="846">
        <f t="shared" ref="H17:H25" si="4">+B17+E17</f>
        <v>1347</v>
      </c>
      <c r="I17" s="846">
        <f t="shared" ref="I17:I25" si="5">+C17+F17</f>
        <v>150</v>
      </c>
      <c r="J17" s="858">
        <f t="shared" ref="J17:J25" si="6">SUM(H17:I17)</f>
        <v>1497</v>
      </c>
      <c r="K17" s="841"/>
      <c r="L17" s="842"/>
      <c r="M17" s="843"/>
      <c r="N17" s="843"/>
      <c r="O17" s="843"/>
      <c r="P17" s="843"/>
      <c r="Q17" s="843"/>
      <c r="R17" s="843"/>
      <c r="S17" s="843"/>
      <c r="T17" s="843"/>
      <c r="U17" s="843"/>
      <c r="V17" s="843"/>
      <c r="W17" s="843"/>
      <c r="X17" s="843"/>
    </row>
    <row r="18" spans="1:24" s="690" customFormat="1" ht="26.25" customHeight="1">
      <c r="A18" s="850" t="s">
        <v>243</v>
      </c>
      <c r="B18" s="845">
        <v>581</v>
      </c>
      <c r="C18" s="845">
        <v>70</v>
      </c>
      <c r="D18" s="845">
        <f t="shared" si="2"/>
        <v>651</v>
      </c>
      <c r="E18" s="845">
        <v>721</v>
      </c>
      <c r="F18" s="845">
        <v>69</v>
      </c>
      <c r="G18" s="845">
        <f t="shared" si="3"/>
        <v>790</v>
      </c>
      <c r="H18" s="845">
        <f t="shared" si="4"/>
        <v>1302</v>
      </c>
      <c r="I18" s="845">
        <f t="shared" si="5"/>
        <v>139</v>
      </c>
      <c r="J18" s="857">
        <f t="shared" si="6"/>
        <v>1441</v>
      </c>
      <c r="K18" s="841"/>
      <c r="L18" s="842"/>
      <c r="M18" s="843"/>
      <c r="N18" s="843"/>
      <c r="O18" s="843"/>
      <c r="P18" s="843"/>
      <c r="Q18" s="843"/>
      <c r="R18" s="843"/>
      <c r="S18" s="843"/>
      <c r="T18" s="843"/>
      <c r="U18" s="843"/>
      <c r="V18" s="843"/>
      <c r="W18" s="843"/>
      <c r="X18" s="843"/>
    </row>
    <row r="19" spans="1:24" s="690" customFormat="1" ht="26.25" customHeight="1">
      <c r="A19" s="851" t="s">
        <v>54</v>
      </c>
      <c r="B19" s="846">
        <v>549</v>
      </c>
      <c r="C19" s="846">
        <v>67</v>
      </c>
      <c r="D19" s="846">
        <f t="shared" si="2"/>
        <v>616</v>
      </c>
      <c r="E19" s="846">
        <v>715</v>
      </c>
      <c r="F19" s="846">
        <v>68</v>
      </c>
      <c r="G19" s="846">
        <f t="shared" si="3"/>
        <v>783</v>
      </c>
      <c r="H19" s="846">
        <f>+B19+E19</f>
        <v>1264</v>
      </c>
      <c r="I19" s="846">
        <f>+C19+F19</f>
        <v>135</v>
      </c>
      <c r="J19" s="858">
        <f>SUM(H19:I19)</f>
        <v>1399</v>
      </c>
      <c r="K19" s="841"/>
      <c r="L19" s="842"/>
      <c r="M19" s="843"/>
      <c r="N19" s="843"/>
      <c r="O19" s="843"/>
      <c r="P19" s="843"/>
      <c r="Q19" s="843"/>
      <c r="R19" s="843"/>
      <c r="S19" s="843"/>
      <c r="T19" s="843"/>
      <c r="U19" s="843"/>
      <c r="V19" s="843"/>
      <c r="W19" s="843"/>
      <c r="X19" s="843"/>
    </row>
    <row r="20" spans="1:24" s="690" customFormat="1" ht="26.25" customHeight="1">
      <c r="A20" s="850" t="s">
        <v>56</v>
      </c>
      <c r="B20" s="845">
        <v>500</v>
      </c>
      <c r="C20" s="845">
        <v>61</v>
      </c>
      <c r="D20" s="845">
        <f t="shared" si="2"/>
        <v>561</v>
      </c>
      <c r="E20" s="845">
        <v>719</v>
      </c>
      <c r="F20" s="845">
        <v>70</v>
      </c>
      <c r="G20" s="845">
        <f t="shared" si="3"/>
        <v>789</v>
      </c>
      <c r="H20" s="845">
        <f t="shared" si="4"/>
        <v>1219</v>
      </c>
      <c r="I20" s="845">
        <f>+C20+F20</f>
        <v>131</v>
      </c>
      <c r="J20" s="857">
        <f>SUM(H20:I20)</f>
        <v>1350</v>
      </c>
      <c r="K20" s="841"/>
      <c r="L20" s="842"/>
      <c r="M20" s="843"/>
      <c r="N20" s="843"/>
      <c r="O20" s="843"/>
      <c r="P20" s="843"/>
      <c r="Q20" s="843"/>
      <c r="R20" s="843"/>
      <c r="S20" s="843"/>
      <c r="T20" s="843"/>
      <c r="U20" s="843"/>
      <c r="V20" s="843"/>
      <c r="W20" s="843"/>
      <c r="X20" s="843"/>
    </row>
    <row r="21" spans="1:24" s="690" customFormat="1" ht="26.25" customHeight="1">
      <c r="A21" s="851" t="s">
        <v>68</v>
      </c>
      <c r="B21" s="846">
        <v>462</v>
      </c>
      <c r="C21" s="846">
        <v>54</v>
      </c>
      <c r="D21" s="846">
        <f t="shared" si="2"/>
        <v>516</v>
      </c>
      <c r="E21" s="846">
        <v>720</v>
      </c>
      <c r="F21" s="846">
        <v>71</v>
      </c>
      <c r="G21" s="846">
        <f t="shared" si="3"/>
        <v>791</v>
      </c>
      <c r="H21" s="846">
        <f t="shared" si="4"/>
        <v>1182</v>
      </c>
      <c r="I21" s="846">
        <f>+C21+F21</f>
        <v>125</v>
      </c>
      <c r="J21" s="858">
        <f>SUM(H21:I21)</f>
        <v>1307</v>
      </c>
      <c r="K21" s="841"/>
      <c r="L21" s="842"/>
      <c r="M21" s="843"/>
      <c r="N21" s="843"/>
      <c r="O21" s="843"/>
      <c r="P21" s="843"/>
      <c r="Q21" s="843"/>
      <c r="R21" s="843"/>
      <c r="S21" s="843"/>
      <c r="T21" s="843"/>
      <c r="U21" s="843"/>
      <c r="V21" s="843"/>
      <c r="W21" s="843"/>
      <c r="X21" s="843"/>
    </row>
    <row r="22" spans="1:24" s="690" customFormat="1" ht="26.25" customHeight="1">
      <c r="A22" s="850" t="s">
        <v>69</v>
      </c>
      <c r="B22" s="845">
        <v>448</v>
      </c>
      <c r="C22" s="845">
        <v>48</v>
      </c>
      <c r="D22" s="845">
        <f t="shared" si="2"/>
        <v>496</v>
      </c>
      <c r="E22" s="845">
        <v>713</v>
      </c>
      <c r="F22" s="845">
        <v>73</v>
      </c>
      <c r="G22" s="845">
        <f t="shared" si="3"/>
        <v>786</v>
      </c>
      <c r="H22" s="845">
        <f t="shared" si="4"/>
        <v>1161</v>
      </c>
      <c r="I22" s="845">
        <f t="shared" si="5"/>
        <v>121</v>
      </c>
      <c r="J22" s="857">
        <f t="shared" si="6"/>
        <v>1282</v>
      </c>
      <c r="K22" s="841"/>
      <c r="L22" s="842"/>
      <c r="M22" s="843"/>
      <c r="N22" s="843"/>
      <c r="O22" s="843"/>
      <c r="P22" s="843"/>
      <c r="Q22" s="843"/>
      <c r="R22" s="843"/>
      <c r="S22" s="843"/>
      <c r="T22" s="843"/>
      <c r="U22" s="843"/>
      <c r="V22" s="843"/>
      <c r="W22" s="843"/>
      <c r="X22" s="843"/>
    </row>
    <row r="23" spans="1:24" s="690" customFormat="1" ht="26.25" customHeight="1">
      <c r="A23" s="851" t="s">
        <v>248</v>
      </c>
      <c r="B23" s="846">
        <v>425</v>
      </c>
      <c r="C23" s="846">
        <v>53</v>
      </c>
      <c r="D23" s="846">
        <f t="shared" si="2"/>
        <v>478</v>
      </c>
      <c r="E23" s="846">
        <v>707</v>
      </c>
      <c r="F23" s="846">
        <v>71</v>
      </c>
      <c r="G23" s="846">
        <f t="shared" si="3"/>
        <v>778</v>
      </c>
      <c r="H23" s="846">
        <f t="shared" si="4"/>
        <v>1132</v>
      </c>
      <c r="I23" s="846">
        <f t="shared" si="5"/>
        <v>124</v>
      </c>
      <c r="J23" s="858">
        <f t="shared" si="6"/>
        <v>1256</v>
      </c>
      <c r="K23" s="841"/>
      <c r="L23" s="842"/>
      <c r="M23" s="843"/>
      <c r="N23" s="843"/>
      <c r="O23" s="843"/>
      <c r="P23" s="843"/>
      <c r="Q23" s="843"/>
      <c r="R23" s="843"/>
      <c r="S23" s="843"/>
      <c r="T23" s="843"/>
      <c r="U23" s="843"/>
      <c r="V23" s="843"/>
      <c r="W23" s="843"/>
      <c r="X23" s="843"/>
    </row>
    <row r="24" spans="1:24" s="690" customFormat="1" ht="26.25" customHeight="1">
      <c r="A24" s="850" t="s">
        <v>244</v>
      </c>
      <c r="B24" s="845">
        <v>403</v>
      </c>
      <c r="C24" s="845">
        <v>52</v>
      </c>
      <c r="D24" s="845">
        <f t="shared" si="2"/>
        <v>455</v>
      </c>
      <c r="E24" s="845">
        <v>710</v>
      </c>
      <c r="F24" s="845">
        <v>69</v>
      </c>
      <c r="G24" s="845">
        <f t="shared" si="3"/>
        <v>779</v>
      </c>
      <c r="H24" s="845">
        <f t="shared" si="4"/>
        <v>1113</v>
      </c>
      <c r="I24" s="845">
        <f t="shared" si="5"/>
        <v>121</v>
      </c>
      <c r="J24" s="857">
        <f t="shared" si="6"/>
        <v>1234</v>
      </c>
      <c r="K24" s="841"/>
      <c r="L24" s="842"/>
      <c r="M24" s="843"/>
      <c r="N24" s="843"/>
      <c r="O24" s="843"/>
      <c r="P24" s="843"/>
      <c r="Q24" s="843"/>
      <c r="R24" s="843"/>
      <c r="S24" s="843"/>
      <c r="T24" s="843"/>
      <c r="U24" s="843"/>
      <c r="V24" s="843"/>
      <c r="W24" s="843"/>
      <c r="X24" s="843"/>
    </row>
    <row r="25" spans="1:24" s="690" customFormat="1" ht="26.25" customHeight="1">
      <c r="A25" s="852" t="s">
        <v>249</v>
      </c>
      <c r="B25" s="849">
        <v>391</v>
      </c>
      <c r="C25" s="849">
        <v>66</v>
      </c>
      <c r="D25" s="849">
        <f t="shared" si="2"/>
        <v>457</v>
      </c>
      <c r="E25" s="849">
        <v>728</v>
      </c>
      <c r="F25" s="849">
        <v>68</v>
      </c>
      <c r="G25" s="849">
        <f t="shared" si="3"/>
        <v>796</v>
      </c>
      <c r="H25" s="849">
        <f t="shared" si="4"/>
        <v>1119</v>
      </c>
      <c r="I25" s="849">
        <f t="shared" si="5"/>
        <v>134</v>
      </c>
      <c r="J25" s="854">
        <f t="shared" si="6"/>
        <v>1253</v>
      </c>
      <c r="K25" s="841"/>
      <c r="L25" s="842"/>
      <c r="M25" s="843"/>
      <c r="N25" s="843"/>
      <c r="O25" s="843"/>
      <c r="P25" s="843"/>
      <c r="Q25" s="843"/>
      <c r="R25" s="843"/>
      <c r="S25" s="843"/>
      <c r="T25" s="843"/>
      <c r="U25" s="843"/>
      <c r="V25" s="843"/>
      <c r="W25" s="843"/>
      <c r="X25" s="843"/>
    </row>
    <row r="26" spans="1:24" s="690" customFormat="1" ht="26.25" customHeight="1">
      <c r="A26" s="853" t="s">
        <v>618</v>
      </c>
      <c r="B26" s="847">
        <f t="shared" ref="B26:J26" si="7">AVERAGE(B14:B25)</f>
        <v>529.66666666666663</v>
      </c>
      <c r="C26" s="847">
        <f t="shared" si="7"/>
        <v>65.833333333333329</v>
      </c>
      <c r="D26" s="847">
        <f t="shared" si="7"/>
        <v>595.5</v>
      </c>
      <c r="E26" s="847">
        <f t="shared" si="7"/>
        <v>715.25</v>
      </c>
      <c r="F26" s="847">
        <f t="shared" si="7"/>
        <v>72.25</v>
      </c>
      <c r="G26" s="847">
        <f t="shared" si="7"/>
        <v>787.5</v>
      </c>
      <c r="H26" s="847">
        <f t="shared" si="7"/>
        <v>1244.9166666666667</v>
      </c>
      <c r="I26" s="847">
        <f t="shared" si="7"/>
        <v>138.08333333333334</v>
      </c>
      <c r="J26" s="855">
        <f t="shared" si="7"/>
        <v>1383</v>
      </c>
      <c r="K26" s="841"/>
      <c r="L26" s="842"/>
      <c r="M26" s="843"/>
      <c r="N26" s="843"/>
      <c r="O26" s="843"/>
      <c r="P26" s="843"/>
      <c r="Q26" s="843"/>
      <c r="R26" s="843"/>
      <c r="S26" s="843"/>
      <c r="T26" s="843"/>
      <c r="U26" s="843"/>
      <c r="V26" s="843"/>
      <c r="W26" s="843"/>
      <c r="X26" s="843"/>
    </row>
    <row r="27" spans="1:24" s="690" customFormat="1" ht="26.25" customHeight="1">
      <c r="A27" s="2050" t="s">
        <v>28</v>
      </c>
      <c r="B27" s="848">
        <f>+B26/D26</f>
        <v>0.88944864259725709</v>
      </c>
      <c r="C27" s="848">
        <f>+C26/D26</f>
        <v>0.11055135740274279</v>
      </c>
      <c r="D27" s="848">
        <f>SUM(B27:C27)</f>
        <v>0.99999999999999989</v>
      </c>
      <c r="E27" s="848">
        <f>+E26/G26</f>
        <v>0.9082539682539682</v>
      </c>
      <c r="F27" s="848">
        <f>+F26/G26</f>
        <v>9.1746031746031742E-2</v>
      </c>
      <c r="G27" s="848">
        <f>SUM(E27:F27)</f>
        <v>1</v>
      </c>
      <c r="H27" s="848">
        <f>+H26/J26</f>
        <v>0.90015666425644736</v>
      </c>
      <c r="I27" s="848">
        <f>+I26/J26</f>
        <v>9.9843335743552669E-2</v>
      </c>
      <c r="J27" s="859">
        <f>SUM(H27:I27)</f>
        <v>1</v>
      </c>
      <c r="K27" s="844"/>
      <c r="L27" s="840"/>
      <c r="M27" s="836"/>
      <c r="N27" s="836"/>
      <c r="O27" s="836"/>
      <c r="P27" s="836"/>
      <c r="Q27" s="836"/>
      <c r="R27" s="836"/>
      <c r="S27" s="836"/>
      <c r="T27" s="836"/>
      <c r="U27" s="836"/>
      <c r="V27" s="836"/>
      <c r="W27" s="836"/>
      <c r="X27" s="836"/>
    </row>
    <row r="28" spans="1:24" s="690" customFormat="1" ht="26.25" customHeight="1" thickBot="1">
      <c r="A28" s="2049"/>
      <c r="B28" s="2040">
        <f>+D26/J26</f>
        <v>0.43058568329718006</v>
      </c>
      <c r="C28" s="2041"/>
      <c r="D28" s="2042"/>
      <c r="E28" s="2040">
        <f>+G26/J26</f>
        <v>0.56941431670281994</v>
      </c>
      <c r="F28" s="2041"/>
      <c r="G28" s="2042"/>
      <c r="H28" s="2040">
        <f>SUM(B28:G28)</f>
        <v>1</v>
      </c>
      <c r="I28" s="2041"/>
      <c r="J28" s="2043"/>
      <c r="K28" s="840"/>
      <c r="L28" s="840"/>
      <c r="M28" s="836"/>
      <c r="N28" s="836"/>
      <c r="O28" s="836"/>
      <c r="P28" s="836"/>
      <c r="Q28" s="836"/>
      <c r="R28" s="836"/>
      <c r="S28" s="836"/>
      <c r="T28" s="836"/>
      <c r="U28" s="836"/>
      <c r="V28" s="836"/>
      <c r="W28" s="836"/>
      <c r="X28" s="836"/>
    </row>
    <row r="31" spans="1:24">
      <c r="B31" s="833" t="s">
        <v>619</v>
      </c>
    </row>
    <row r="32" spans="1:24" ht="26.25" thickBot="1"/>
    <row r="33" spans="1:24" s="690" customFormat="1" ht="26.25" customHeight="1">
      <c r="A33" s="2048" t="s">
        <v>21</v>
      </c>
      <c r="B33" s="2054" t="s">
        <v>8</v>
      </c>
      <c r="C33" s="2052"/>
      <c r="D33" s="2053"/>
      <c r="E33" s="2054" t="s">
        <v>9</v>
      </c>
      <c r="F33" s="2052"/>
      <c r="G33" s="2053"/>
      <c r="H33" s="2051" t="s">
        <v>625</v>
      </c>
      <c r="I33" s="2052"/>
      <c r="J33" s="2055"/>
      <c r="K33" s="837"/>
      <c r="L33" s="836"/>
      <c r="M33" s="836"/>
      <c r="N33" s="836"/>
      <c r="O33" s="836"/>
      <c r="P33" s="836"/>
      <c r="Q33" s="836"/>
      <c r="R33" s="836"/>
      <c r="S33" s="836"/>
      <c r="T33" s="836"/>
      <c r="U33" s="836"/>
      <c r="V33" s="836"/>
      <c r="W33" s="836"/>
      <c r="X33" s="836"/>
    </row>
    <row r="34" spans="1:24" s="690" customFormat="1" ht="26.25" customHeight="1" thickBot="1">
      <c r="A34" s="2049"/>
      <c r="B34" s="838" t="s">
        <v>44</v>
      </c>
      <c r="C34" s="838" t="s">
        <v>45</v>
      </c>
      <c r="D34" s="838" t="s">
        <v>6</v>
      </c>
      <c r="E34" s="838" t="s">
        <v>44</v>
      </c>
      <c r="F34" s="838" t="s">
        <v>45</v>
      </c>
      <c r="G34" s="838" t="s">
        <v>6</v>
      </c>
      <c r="H34" s="838" t="s">
        <v>44</v>
      </c>
      <c r="I34" s="838" t="s">
        <v>45</v>
      </c>
      <c r="J34" s="856" t="s">
        <v>6</v>
      </c>
      <c r="K34" s="839"/>
      <c r="L34" s="840"/>
      <c r="M34" s="836"/>
      <c r="N34" s="836"/>
      <c r="O34" s="836"/>
      <c r="P34" s="836"/>
      <c r="Q34" s="836"/>
      <c r="R34" s="836"/>
      <c r="S34" s="836"/>
      <c r="T34" s="836"/>
      <c r="U34" s="836"/>
      <c r="V34" s="836"/>
      <c r="W34" s="836"/>
      <c r="X34" s="836"/>
    </row>
    <row r="35" spans="1:24" s="690" customFormat="1" ht="26.25" customHeight="1">
      <c r="A35" s="850" t="s">
        <v>612</v>
      </c>
      <c r="B35" s="845">
        <v>282</v>
      </c>
      <c r="C35" s="845">
        <v>52</v>
      </c>
      <c r="D35" s="845">
        <f>SUM(B35:C35)</f>
        <v>334</v>
      </c>
      <c r="E35" s="845">
        <v>87</v>
      </c>
      <c r="F35" s="845">
        <v>18</v>
      </c>
      <c r="G35" s="845">
        <f>SUM(E35:F35)</f>
        <v>105</v>
      </c>
      <c r="H35" s="845">
        <f>+B35+E35</f>
        <v>369</v>
      </c>
      <c r="I35" s="845">
        <f>+C35+F35</f>
        <v>70</v>
      </c>
      <c r="J35" s="857">
        <f>SUM(H35:I35)</f>
        <v>439</v>
      </c>
      <c r="K35" s="841"/>
      <c r="L35" s="842"/>
      <c r="M35" s="843"/>
      <c r="N35" s="843"/>
      <c r="O35" s="843"/>
      <c r="P35" s="843"/>
      <c r="Q35" s="843"/>
      <c r="R35" s="843"/>
      <c r="S35" s="843"/>
      <c r="T35" s="843"/>
      <c r="U35" s="843"/>
      <c r="V35" s="843"/>
      <c r="W35" s="843"/>
      <c r="X35" s="843"/>
    </row>
    <row r="36" spans="1:24" s="690" customFormat="1" ht="26.25" customHeight="1">
      <c r="A36" s="851" t="s">
        <v>12</v>
      </c>
      <c r="B36" s="846">
        <v>298</v>
      </c>
      <c r="C36" s="846">
        <v>56</v>
      </c>
      <c r="D36" s="846">
        <f t="shared" ref="D36:D46" si="8">SUM(B36:C36)</f>
        <v>354</v>
      </c>
      <c r="E36" s="846">
        <v>87</v>
      </c>
      <c r="F36" s="846">
        <v>18</v>
      </c>
      <c r="G36" s="846">
        <f t="shared" ref="G36:G46" si="9">SUM(E36:F36)</f>
        <v>105</v>
      </c>
      <c r="H36" s="846">
        <f t="shared" ref="H36:H42" si="10">+B36+E36</f>
        <v>385</v>
      </c>
      <c r="I36" s="846">
        <f t="shared" ref="I36:I42" si="11">+C36+F36</f>
        <v>74</v>
      </c>
      <c r="J36" s="858">
        <f t="shared" ref="J36:J42" si="12">SUM(H36:I36)</f>
        <v>459</v>
      </c>
      <c r="K36" s="841"/>
      <c r="L36" s="842"/>
      <c r="M36" s="843"/>
      <c r="N36" s="843"/>
      <c r="O36" s="843"/>
      <c r="P36" s="843"/>
      <c r="Q36" s="843"/>
      <c r="R36" s="843"/>
      <c r="S36" s="843"/>
      <c r="T36" s="843"/>
      <c r="U36" s="843"/>
      <c r="V36" s="843"/>
      <c r="W36" s="843"/>
      <c r="X36" s="843"/>
    </row>
    <row r="37" spans="1:24" s="690" customFormat="1" ht="26.25" customHeight="1">
      <c r="A37" s="850" t="s">
        <v>13</v>
      </c>
      <c r="B37" s="845">
        <v>311</v>
      </c>
      <c r="C37" s="845">
        <v>55</v>
      </c>
      <c r="D37" s="845">
        <f t="shared" si="8"/>
        <v>366</v>
      </c>
      <c r="E37" s="845">
        <v>90</v>
      </c>
      <c r="F37" s="845">
        <v>19</v>
      </c>
      <c r="G37" s="845">
        <f t="shared" si="9"/>
        <v>109</v>
      </c>
      <c r="H37" s="845">
        <f t="shared" si="10"/>
        <v>401</v>
      </c>
      <c r="I37" s="845">
        <f t="shared" si="11"/>
        <v>74</v>
      </c>
      <c r="J37" s="857">
        <f t="shared" si="12"/>
        <v>475</v>
      </c>
      <c r="K37" s="841"/>
      <c r="L37" s="842"/>
      <c r="M37" s="843"/>
      <c r="N37" s="843"/>
      <c r="O37" s="843"/>
      <c r="P37" s="843"/>
      <c r="Q37" s="843"/>
      <c r="R37" s="843"/>
      <c r="S37" s="843"/>
      <c r="T37" s="843"/>
      <c r="U37" s="843"/>
      <c r="V37" s="843"/>
      <c r="W37" s="843"/>
      <c r="X37" s="843"/>
    </row>
    <row r="38" spans="1:24" s="690" customFormat="1" ht="26.25" customHeight="1">
      <c r="A38" s="851" t="s">
        <v>53</v>
      </c>
      <c r="B38" s="846">
        <v>313</v>
      </c>
      <c r="C38" s="846">
        <v>54</v>
      </c>
      <c r="D38" s="846">
        <f t="shared" si="8"/>
        <v>367</v>
      </c>
      <c r="E38" s="846">
        <v>93</v>
      </c>
      <c r="F38" s="846">
        <v>19</v>
      </c>
      <c r="G38" s="846">
        <f t="shared" si="9"/>
        <v>112</v>
      </c>
      <c r="H38" s="846">
        <f t="shared" si="10"/>
        <v>406</v>
      </c>
      <c r="I38" s="846">
        <f t="shared" si="11"/>
        <v>73</v>
      </c>
      <c r="J38" s="858">
        <f t="shared" si="12"/>
        <v>479</v>
      </c>
      <c r="K38" s="841"/>
      <c r="L38" s="842"/>
      <c r="M38" s="843"/>
      <c r="N38" s="843"/>
      <c r="O38" s="843"/>
      <c r="P38" s="843"/>
      <c r="Q38" s="843"/>
      <c r="R38" s="843"/>
      <c r="S38" s="843"/>
      <c r="T38" s="843"/>
      <c r="U38" s="843"/>
      <c r="V38" s="843"/>
      <c r="W38" s="843"/>
      <c r="X38" s="843"/>
    </row>
    <row r="39" spans="1:24" s="690" customFormat="1" ht="26.25" customHeight="1">
      <c r="A39" s="850" t="s">
        <v>243</v>
      </c>
      <c r="B39" s="845">
        <v>330</v>
      </c>
      <c r="C39" s="845">
        <v>59</v>
      </c>
      <c r="D39" s="845">
        <f t="shared" si="8"/>
        <v>389</v>
      </c>
      <c r="E39" s="845">
        <v>102</v>
      </c>
      <c r="F39" s="845">
        <v>23</v>
      </c>
      <c r="G39" s="845">
        <f t="shared" si="9"/>
        <v>125</v>
      </c>
      <c r="H39" s="845">
        <f t="shared" si="10"/>
        <v>432</v>
      </c>
      <c r="I39" s="845">
        <f t="shared" si="11"/>
        <v>82</v>
      </c>
      <c r="J39" s="857">
        <f t="shared" si="12"/>
        <v>514</v>
      </c>
      <c r="K39" s="841"/>
      <c r="L39" s="842"/>
      <c r="M39" s="843"/>
      <c r="N39" s="843"/>
      <c r="O39" s="843"/>
      <c r="P39" s="843"/>
      <c r="Q39" s="843"/>
      <c r="R39" s="843"/>
      <c r="S39" s="843"/>
      <c r="T39" s="843"/>
      <c r="U39" s="843"/>
      <c r="V39" s="843"/>
      <c r="W39" s="843"/>
      <c r="X39" s="843"/>
    </row>
    <row r="40" spans="1:24" s="690" customFormat="1" ht="26.25" customHeight="1">
      <c r="A40" s="851" t="s">
        <v>54</v>
      </c>
      <c r="B40" s="846">
        <v>337</v>
      </c>
      <c r="C40" s="846">
        <v>61</v>
      </c>
      <c r="D40" s="846">
        <f t="shared" si="8"/>
        <v>398</v>
      </c>
      <c r="E40" s="846">
        <v>116</v>
      </c>
      <c r="F40" s="846">
        <v>25</v>
      </c>
      <c r="G40" s="846">
        <f t="shared" si="9"/>
        <v>141</v>
      </c>
      <c r="H40" s="846">
        <f t="shared" si="10"/>
        <v>453</v>
      </c>
      <c r="I40" s="846">
        <f t="shared" si="11"/>
        <v>86</v>
      </c>
      <c r="J40" s="858">
        <f t="shared" si="12"/>
        <v>539</v>
      </c>
      <c r="K40" s="841"/>
      <c r="L40" s="842"/>
      <c r="M40" s="843"/>
      <c r="N40" s="843"/>
      <c r="O40" s="843"/>
      <c r="P40" s="843"/>
      <c r="Q40" s="843"/>
      <c r="R40" s="843"/>
      <c r="S40" s="843"/>
      <c r="T40" s="843"/>
      <c r="U40" s="843"/>
      <c r="V40" s="843"/>
      <c r="W40" s="843"/>
      <c r="X40" s="843"/>
    </row>
    <row r="41" spans="1:24" s="690" customFormat="1" ht="26.25" customHeight="1">
      <c r="A41" s="850" t="s">
        <v>56</v>
      </c>
      <c r="B41" s="845">
        <v>352</v>
      </c>
      <c r="C41" s="845">
        <v>62</v>
      </c>
      <c r="D41" s="845">
        <f t="shared" si="8"/>
        <v>414</v>
      </c>
      <c r="E41" s="845">
        <v>112</v>
      </c>
      <c r="F41" s="845">
        <v>27</v>
      </c>
      <c r="G41" s="845">
        <f t="shared" si="9"/>
        <v>139</v>
      </c>
      <c r="H41" s="845">
        <f t="shared" si="10"/>
        <v>464</v>
      </c>
      <c r="I41" s="845">
        <f t="shared" si="11"/>
        <v>89</v>
      </c>
      <c r="J41" s="857">
        <f t="shared" si="12"/>
        <v>553</v>
      </c>
      <c r="K41" s="841"/>
      <c r="L41" s="842"/>
      <c r="M41" s="843"/>
      <c r="N41" s="843"/>
      <c r="O41" s="843"/>
      <c r="P41" s="843"/>
      <c r="Q41" s="843"/>
      <c r="R41" s="843"/>
      <c r="S41" s="843"/>
      <c r="T41" s="843"/>
      <c r="U41" s="843"/>
      <c r="V41" s="843"/>
      <c r="W41" s="843"/>
      <c r="X41" s="843"/>
    </row>
    <row r="42" spans="1:24" s="690" customFormat="1" ht="26.25" customHeight="1">
      <c r="A42" s="851" t="s">
        <v>68</v>
      </c>
      <c r="B42" s="846">
        <v>367</v>
      </c>
      <c r="C42" s="846">
        <v>66</v>
      </c>
      <c r="D42" s="846">
        <f t="shared" si="8"/>
        <v>433</v>
      </c>
      <c r="E42" s="846">
        <v>120</v>
      </c>
      <c r="F42" s="846">
        <v>27</v>
      </c>
      <c r="G42" s="846">
        <f t="shared" si="9"/>
        <v>147</v>
      </c>
      <c r="H42" s="846">
        <f t="shared" si="10"/>
        <v>487</v>
      </c>
      <c r="I42" s="846">
        <f t="shared" si="11"/>
        <v>93</v>
      </c>
      <c r="J42" s="858">
        <f t="shared" si="12"/>
        <v>580</v>
      </c>
      <c r="K42" s="841"/>
      <c r="L42" s="842"/>
      <c r="M42" s="843"/>
      <c r="N42" s="843"/>
      <c r="O42" s="843"/>
      <c r="P42" s="843"/>
      <c r="Q42" s="843"/>
      <c r="R42" s="843"/>
      <c r="S42" s="843"/>
      <c r="T42" s="843"/>
      <c r="U42" s="843"/>
      <c r="V42" s="843"/>
      <c r="W42" s="843"/>
      <c r="X42" s="843"/>
    </row>
    <row r="43" spans="1:24" s="690" customFormat="1" ht="26.25" customHeight="1">
      <c r="A43" s="850" t="s">
        <v>69</v>
      </c>
      <c r="B43" s="845">
        <v>384</v>
      </c>
      <c r="C43" s="845">
        <v>68</v>
      </c>
      <c r="D43" s="845">
        <f t="shared" si="8"/>
        <v>452</v>
      </c>
      <c r="E43" s="845">
        <v>125</v>
      </c>
      <c r="F43" s="845">
        <v>28</v>
      </c>
      <c r="G43" s="845">
        <f t="shared" si="9"/>
        <v>153</v>
      </c>
      <c r="H43" s="845">
        <f t="shared" ref="H43:I46" si="13">+B43+E43</f>
        <v>509</v>
      </c>
      <c r="I43" s="845">
        <f t="shared" si="13"/>
        <v>96</v>
      </c>
      <c r="J43" s="857">
        <f>SUM(H43:I43)</f>
        <v>605</v>
      </c>
      <c r="K43" s="841"/>
      <c r="L43" s="842"/>
      <c r="M43" s="843"/>
      <c r="N43" s="843"/>
      <c r="O43" s="843"/>
      <c r="P43" s="843"/>
      <c r="Q43" s="843"/>
      <c r="R43" s="843"/>
      <c r="S43" s="843"/>
      <c r="T43" s="843"/>
      <c r="U43" s="843"/>
      <c r="V43" s="843"/>
      <c r="W43" s="843"/>
      <c r="X43" s="843"/>
    </row>
    <row r="44" spans="1:24" s="690" customFormat="1" ht="26.25" customHeight="1">
      <c r="A44" s="851" t="s">
        <v>248</v>
      </c>
      <c r="B44" s="846">
        <v>402</v>
      </c>
      <c r="C44" s="846">
        <v>73</v>
      </c>
      <c r="D44" s="846">
        <f t="shared" si="8"/>
        <v>475</v>
      </c>
      <c r="E44" s="846">
        <v>126</v>
      </c>
      <c r="F44" s="846">
        <v>27</v>
      </c>
      <c r="G44" s="846">
        <f t="shared" si="9"/>
        <v>153</v>
      </c>
      <c r="H44" s="846">
        <f t="shared" si="13"/>
        <v>528</v>
      </c>
      <c r="I44" s="846">
        <f t="shared" si="13"/>
        <v>100</v>
      </c>
      <c r="J44" s="858">
        <f>SUM(H44:I44)</f>
        <v>628</v>
      </c>
      <c r="K44" s="841"/>
      <c r="L44" s="842"/>
      <c r="M44" s="843"/>
      <c r="N44" s="843"/>
      <c r="O44" s="843"/>
      <c r="P44" s="843"/>
      <c r="Q44" s="843"/>
      <c r="R44" s="843"/>
      <c r="S44" s="843"/>
      <c r="T44" s="843"/>
      <c r="U44" s="843"/>
      <c r="V44" s="843"/>
      <c r="W44" s="843"/>
      <c r="X44" s="843"/>
    </row>
    <row r="45" spans="1:24" s="690" customFormat="1" ht="26.25" customHeight="1">
      <c r="A45" s="850" t="s">
        <v>244</v>
      </c>
      <c r="B45" s="845">
        <v>420</v>
      </c>
      <c r="C45" s="845">
        <v>80</v>
      </c>
      <c r="D45" s="845">
        <f t="shared" si="8"/>
        <v>500</v>
      </c>
      <c r="E45" s="845">
        <v>134</v>
      </c>
      <c r="F45" s="845">
        <v>30</v>
      </c>
      <c r="G45" s="845">
        <f t="shared" si="9"/>
        <v>164</v>
      </c>
      <c r="H45" s="845">
        <f t="shared" si="13"/>
        <v>554</v>
      </c>
      <c r="I45" s="845">
        <f t="shared" si="13"/>
        <v>110</v>
      </c>
      <c r="J45" s="857">
        <f>SUM(H45:I45)</f>
        <v>664</v>
      </c>
      <c r="K45" s="841"/>
      <c r="L45" s="842"/>
      <c r="M45" s="843"/>
      <c r="N45" s="843"/>
      <c r="O45" s="843"/>
      <c r="P45" s="843"/>
      <c r="Q45" s="843"/>
      <c r="R45" s="843"/>
      <c r="S45" s="843"/>
      <c r="T45" s="843"/>
      <c r="U45" s="843"/>
      <c r="V45" s="843"/>
      <c r="W45" s="843"/>
      <c r="X45" s="843"/>
    </row>
    <row r="46" spans="1:24" s="690" customFormat="1" ht="26.25" customHeight="1">
      <c r="A46" s="852" t="s">
        <v>249</v>
      </c>
      <c r="B46" s="849">
        <v>441</v>
      </c>
      <c r="C46" s="849">
        <v>84</v>
      </c>
      <c r="D46" s="849">
        <f t="shared" si="8"/>
        <v>525</v>
      </c>
      <c r="E46" s="849">
        <v>144</v>
      </c>
      <c r="F46" s="849">
        <v>27</v>
      </c>
      <c r="G46" s="849">
        <f t="shared" si="9"/>
        <v>171</v>
      </c>
      <c r="H46" s="849">
        <f t="shared" si="13"/>
        <v>585</v>
      </c>
      <c r="I46" s="849">
        <f t="shared" si="13"/>
        <v>111</v>
      </c>
      <c r="J46" s="854">
        <f>SUM(H46:I46)</f>
        <v>696</v>
      </c>
      <c r="K46" s="841"/>
      <c r="L46" s="842"/>
      <c r="M46" s="843"/>
      <c r="N46" s="843"/>
      <c r="O46" s="843"/>
      <c r="P46" s="843"/>
      <c r="Q46" s="843"/>
      <c r="R46" s="843"/>
      <c r="S46" s="843"/>
      <c r="T46" s="843"/>
      <c r="U46" s="843"/>
      <c r="V46" s="843"/>
      <c r="W46" s="843"/>
      <c r="X46" s="843"/>
    </row>
    <row r="47" spans="1:24" s="690" customFormat="1" ht="26.25" customHeight="1">
      <c r="A47" s="853" t="s">
        <v>618</v>
      </c>
      <c r="B47" s="847">
        <f t="shared" ref="B47:J47" si="14">AVERAGE(B35:B46)</f>
        <v>353.08333333333331</v>
      </c>
      <c r="C47" s="847">
        <f t="shared" si="14"/>
        <v>64.166666666666671</v>
      </c>
      <c r="D47" s="847">
        <f t="shared" si="14"/>
        <v>417.25</v>
      </c>
      <c r="E47" s="847">
        <f t="shared" si="14"/>
        <v>111.33333333333333</v>
      </c>
      <c r="F47" s="847">
        <f t="shared" si="14"/>
        <v>24</v>
      </c>
      <c r="G47" s="847">
        <f t="shared" si="14"/>
        <v>135.33333333333334</v>
      </c>
      <c r="H47" s="847">
        <f t="shared" si="14"/>
        <v>464.41666666666669</v>
      </c>
      <c r="I47" s="847">
        <f t="shared" si="14"/>
        <v>88.166666666666671</v>
      </c>
      <c r="J47" s="855">
        <f t="shared" si="14"/>
        <v>552.58333333333337</v>
      </c>
      <c r="K47" s="841"/>
      <c r="L47" s="842"/>
      <c r="M47" s="843"/>
      <c r="N47" s="843"/>
      <c r="O47" s="843"/>
      <c r="P47" s="843"/>
      <c r="Q47" s="843"/>
      <c r="R47" s="843"/>
      <c r="S47" s="843"/>
      <c r="T47" s="843"/>
      <c r="U47" s="843"/>
      <c r="V47" s="843"/>
      <c r="W47" s="843"/>
      <c r="X47" s="843"/>
    </row>
    <row r="48" spans="1:24" s="690" customFormat="1" ht="26.25" customHeight="1">
      <c r="A48" s="2050" t="s">
        <v>28</v>
      </c>
      <c r="B48" s="848">
        <f>+B47/D47</f>
        <v>0.84621529858198519</v>
      </c>
      <c r="C48" s="848">
        <f>+C47/D47</f>
        <v>0.15378470141801479</v>
      </c>
      <c r="D48" s="848">
        <f>SUM(B48:C48)</f>
        <v>1</v>
      </c>
      <c r="E48" s="848">
        <f>+E47/G47</f>
        <v>0.82266009852216737</v>
      </c>
      <c r="F48" s="848">
        <f>+F47/G47</f>
        <v>0.17733990147783249</v>
      </c>
      <c r="G48" s="848">
        <f>SUM(E48:F48)</f>
        <v>0.99999999999999989</v>
      </c>
      <c r="H48" s="848">
        <f>+H47/J47</f>
        <v>0.84044638817674555</v>
      </c>
      <c r="I48" s="848">
        <f>+I47/J47</f>
        <v>0.15955361182325442</v>
      </c>
      <c r="J48" s="859">
        <f>SUM(H48:I48)</f>
        <v>1</v>
      </c>
      <c r="K48" s="844"/>
      <c r="L48" s="840"/>
      <c r="M48" s="836"/>
      <c r="N48" s="836"/>
      <c r="O48" s="836"/>
      <c r="P48" s="836"/>
      <c r="Q48" s="836"/>
      <c r="R48" s="836"/>
      <c r="S48" s="836"/>
      <c r="T48" s="836"/>
      <c r="U48" s="836"/>
      <c r="V48" s="836"/>
      <c r="W48" s="836"/>
      <c r="X48" s="836"/>
    </row>
    <row r="49" spans="1:24" s="690" customFormat="1" ht="26.25" customHeight="1" thickBot="1">
      <c r="A49" s="2049"/>
      <c r="B49" s="2040">
        <f>+D47/H47</f>
        <v>0.89843890184819664</v>
      </c>
      <c r="C49" s="2041"/>
      <c r="D49" s="2042"/>
      <c r="E49" s="2040">
        <f>+G47/H47</f>
        <v>0.29140498833662304</v>
      </c>
      <c r="F49" s="2041"/>
      <c r="G49" s="2042"/>
      <c r="H49" s="2040">
        <f>SUM(B49:G49)</f>
        <v>1.1898438901848196</v>
      </c>
      <c r="I49" s="2041"/>
      <c r="J49" s="2043"/>
      <c r="K49" s="840"/>
      <c r="L49" s="840"/>
      <c r="M49" s="836"/>
      <c r="N49" s="836"/>
      <c r="O49" s="836"/>
      <c r="P49" s="836"/>
      <c r="Q49" s="836"/>
      <c r="R49" s="836"/>
      <c r="S49" s="836"/>
      <c r="T49" s="836"/>
      <c r="U49" s="836"/>
      <c r="V49" s="836"/>
      <c r="W49" s="836"/>
      <c r="X49" s="836"/>
    </row>
    <row r="52" spans="1:24">
      <c r="B52" s="833" t="s">
        <v>620</v>
      </c>
    </row>
    <row r="53" spans="1:24" ht="26.25" thickBot="1"/>
    <row r="54" spans="1:24" s="690" customFormat="1" ht="26.25" customHeight="1">
      <c r="A54" s="2048" t="s">
        <v>21</v>
      </c>
      <c r="B54" s="2054" t="s">
        <v>8</v>
      </c>
      <c r="C54" s="2052"/>
      <c r="D54" s="2053"/>
      <c r="E54" s="2054" t="s">
        <v>9</v>
      </c>
      <c r="F54" s="2052"/>
      <c r="G54" s="2053"/>
      <c r="H54" s="2051" t="s">
        <v>625</v>
      </c>
      <c r="I54" s="2052"/>
      <c r="J54" s="2055"/>
      <c r="K54" s="837"/>
      <c r="L54" s="836"/>
      <c r="M54" s="836"/>
      <c r="N54" s="836"/>
      <c r="O54" s="836"/>
      <c r="P54" s="836"/>
      <c r="Q54" s="836"/>
      <c r="R54" s="836"/>
      <c r="S54" s="836"/>
      <c r="T54" s="836"/>
      <c r="U54" s="836"/>
      <c r="V54" s="836"/>
      <c r="W54" s="836"/>
      <c r="X54" s="836"/>
    </row>
    <row r="55" spans="1:24" s="690" customFormat="1" ht="26.25" customHeight="1" thickBot="1">
      <c r="A55" s="2049"/>
      <c r="B55" s="838" t="s">
        <v>44</v>
      </c>
      <c r="C55" s="838" t="s">
        <v>45</v>
      </c>
      <c r="D55" s="838" t="s">
        <v>6</v>
      </c>
      <c r="E55" s="838" t="s">
        <v>44</v>
      </c>
      <c r="F55" s="838" t="s">
        <v>45</v>
      </c>
      <c r="G55" s="838" t="s">
        <v>6</v>
      </c>
      <c r="H55" s="838" t="s">
        <v>44</v>
      </c>
      <c r="I55" s="838" t="s">
        <v>45</v>
      </c>
      <c r="J55" s="856" t="s">
        <v>6</v>
      </c>
      <c r="K55" s="839"/>
      <c r="L55" s="840"/>
      <c r="M55" s="836"/>
      <c r="N55" s="836"/>
      <c r="O55" s="836"/>
      <c r="P55" s="836"/>
      <c r="Q55" s="836"/>
      <c r="R55" s="836"/>
      <c r="S55" s="836"/>
      <c r="T55" s="836"/>
      <c r="U55" s="836"/>
      <c r="V55" s="836"/>
      <c r="W55" s="836"/>
      <c r="X55" s="836"/>
    </row>
    <row r="56" spans="1:24" s="690" customFormat="1" ht="26.25" customHeight="1">
      <c r="A56" s="850" t="s">
        <v>612</v>
      </c>
      <c r="B56" s="845">
        <v>29</v>
      </c>
      <c r="C56" s="845">
        <v>3</v>
      </c>
      <c r="D56" s="845">
        <f>SUM(B56:C56)</f>
        <v>32</v>
      </c>
      <c r="E56" s="845">
        <v>10</v>
      </c>
      <c r="F56" s="845">
        <v>1</v>
      </c>
      <c r="G56" s="845">
        <f>SUM(E56:F56)</f>
        <v>11</v>
      </c>
      <c r="H56" s="845">
        <f>+B56+E56</f>
        <v>39</v>
      </c>
      <c r="I56" s="845">
        <f>+C56+F56</f>
        <v>4</v>
      </c>
      <c r="J56" s="857">
        <f>SUM(H56:I56)</f>
        <v>43</v>
      </c>
      <c r="K56" s="841"/>
      <c r="L56" s="842"/>
      <c r="M56" s="843"/>
      <c r="N56" s="843"/>
      <c r="O56" s="843"/>
      <c r="P56" s="843"/>
      <c r="Q56" s="843"/>
      <c r="R56" s="843"/>
      <c r="S56" s="843"/>
      <c r="T56" s="843"/>
      <c r="U56" s="843"/>
      <c r="V56" s="843"/>
      <c r="W56" s="843"/>
      <c r="X56" s="843"/>
    </row>
    <row r="57" spans="1:24" s="690" customFormat="1" ht="26.25" customHeight="1">
      <c r="A57" s="851" t="s">
        <v>12</v>
      </c>
      <c r="B57" s="846">
        <v>28</v>
      </c>
      <c r="C57" s="846">
        <v>3</v>
      </c>
      <c r="D57" s="846">
        <f t="shared" ref="D57:D67" si="15">SUM(B57:C57)</f>
        <v>31</v>
      </c>
      <c r="E57" s="846">
        <v>10</v>
      </c>
      <c r="F57" s="846">
        <v>1</v>
      </c>
      <c r="G57" s="846">
        <f t="shared" ref="G57:G67" si="16">SUM(E57:F57)</f>
        <v>11</v>
      </c>
      <c r="H57" s="846">
        <f t="shared" ref="H57:H67" si="17">+B57+E57</f>
        <v>38</v>
      </c>
      <c r="I57" s="846">
        <f t="shared" ref="I57:I67" si="18">+C57+F57</f>
        <v>4</v>
      </c>
      <c r="J57" s="858">
        <f t="shared" ref="J57:J67" si="19">SUM(H57:I57)</f>
        <v>42</v>
      </c>
      <c r="K57" s="841"/>
      <c r="L57" s="842"/>
      <c r="M57" s="843"/>
      <c r="N57" s="843"/>
      <c r="O57" s="843"/>
      <c r="P57" s="843"/>
      <c r="Q57" s="843"/>
      <c r="R57" s="843"/>
      <c r="S57" s="843"/>
      <c r="T57" s="843"/>
      <c r="U57" s="843"/>
      <c r="V57" s="843"/>
      <c r="W57" s="843"/>
      <c r="X57" s="843"/>
    </row>
    <row r="58" spans="1:24" s="690" customFormat="1" ht="26.25" customHeight="1">
      <c r="A58" s="850" t="s">
        <v>13</v>
      </c>
      <c r="B58" s="845">
        <v>26</v>
      </c>
      <c r="C58" s="845">
        <v>3</v>
      </c>
      <c r="D58" s="845">
        <f t="shared" si="15"/>
        <v>29</v>
      </c>
      <c r="E58" s="845">
        <v>11</v>
      </c>
      <c r="F58" s="845">
        <v>1</v>
      </c>
      <c r="G58" s="845">
        <f t="shared" si="16"/>
        <v>12</v>
      </c>
      <c r="H58" s="845">
        <f t="shared" si="17"/>
        <v>37</v>
      </c>
      <c r="I58" s="845">
        <f t="shared" si="18"/>
        <v>4</v>
      </c>
      <c r="J58" s="857">
        <f t="shared" si="19"/>
        <v>41</v>
      </c>
      <c r="K58" s="841"/>
      <c r="L58" s="842"/>
      <c r="M58" s="843"/>
      <c r="N58" s="843"/>
      <c r="O58" s="843"/>
      <c r="P58" s="843"/>
      <c r="Q58" s="843"/>
      <c r="R58" s="843"/>
      <c r="S58" s="843"/>
      <c r="T58" s="843"/>
      <c r="U58" s="843"/>
      <c r="V58" s="843"/>
      <c r="W58" s="843"/>
      <c r="X58" s="843"/>
    </row>
    <row r="59" spans="1:24" s="690" customFormat="1" ht="26.25" customHeight="1">
      <c r="A59" s="851" t="s">
        <v>53</v>
      </c>
      <c r="B59" s="846">
        <v>28</v>
      </c>
      <c r="C59" s="846">
        <v>4</v>
      </c>
      <c r="D59" s="846">
        <f t="shared" si="15"/>
        <v>32</v>
      </c>
      <c r="E59" s="846">
        <v>11</v>
      </c>
      <c r="F59" s="846">
        <v>1</v>
      </c>
      <c r="G59" s="846">
        <f t="shared" si="16"/>
        <v>12</v>
      </c>
      <c r="H59" s="846">
        <f t="shared" si="17"/>
        <v>39</v>
      </c>
      <c r="I59" s="846">
        <f t="shared" si="18"/>
        <v>5</v>
      </c>
      <c r="J59" s="858">
        <f t="shared" si="19"/>
        <v>44</v>
      </c>
      <c r="K59" s="841"/>
      <c r="L59" s="842"/>
      <c r="M59" s="843"/>
      <c r="N59" s="843"/>
      <c r="O59" s="843"/>
      <c r="P59" s="843"/>
      <c r="Q59" s="843"/>
      <c r="R59" s="843"/>
      <c r="S59" s="843"/>
      <c r="T59" s="843"/>
      <c r="U59" s="843"/>
      <c r="V59" s="843"/>
      <c r="W59" s="843"/>
      <c r="X59" s="843"/>
    </row>
    <row r="60" spans="1:24" s="690" customFormat="1" ht="26.25" customHeight="1">
      <c r="A60" s="850" t="s">
        <v>243</v>
      </c>
      <c r="B60" s="845">
        <v>30</v>
      </c>
      <c r="C60" s="845">
        <v>3</v>
      </c>
      <c r="D60" s="845">
        <f t="shared" si="15"/>
        <v>33</v>
      </c>
      <c r="E60" s="845">
        <v>11</v>
      </c>
      <c r="F60" s="845">
        <v>2</v>
      </c>
      <c r="G60" s="845">
        <f t="shared" si="16"/>
        <v>13</v>
      </c>
      <c r="H60" s="845">
        <f t="shared" si="17"/>
        <v>41</v>
      </c>
      <c r="I60" s="845">
        <f t="shared" si="18"/>
        <v>5</v>
      </c>
      <c r="J60" s="857">
        <f t="shared" si="19"/>
        <v>46</v>
      </c>
      <c r="K60" s="841"/>
      <c r="L60" s="842"/>
      <c r="M60" s="843"/>
      <c r="N60" s="843"/>
      <c r="O60" s="843"/>
      <c r="P60" s="843"/>
      <c r="Q60" s="843"/>
      <c r="R60" s="843"/>
      <c r="S60" s="843"/>
      <c r="T60" s="843"/>
      <c r="U60" s="843"/>
      <c r="V60" s="843"/>
      <c r="W60" s="843"/>
      <c r="X60" s="843"/>
    </row>
    <row r="61" spans="1:24" s="690" customFormat="1" ht="26.25" customHeight="1">
      <c r="A61" s="851" t="s">
        <v>54</v>
      </c>
      <c r="B61" s="846">
        <v>30</v>
      </c>
      <c r="C61" s="846">
        <v>3</v>
      </c>
      <c r="D61" s="846">
        <f t="shared" si="15"/>
        <v>33</v>
      </c>
      <c r="E61" s="846">
        <v>12</v>
      </c>
      <c r="F61" s="846">
        <v>2</v>
      </c>
      <c r="G61" s="846">
        <f t="shared" si="16"/>
        <v>14</v>
      </c>
      <c r="H61" s="846">
        <f t="shared" si="17"/>
        <v>42</v>
      </c>
      <c r="I61" s="846">
        <f t="shared" si="18"/>
        <v>5</v>
      </c>
      <c r="J61" s="858">
        <f t="shared" si="19"/>
        <v>47</v>
      </c>
      <c r="K61" s="841"/>
      <c r="L61" s="842"/>
      <c r="M61" s="843"/>
      <c r="N61" s="843"/>
      <c r="O61" s="843"/>
      <c r="P61" s="843"/>
      <c r="Q61" s="843"/>
      <c r="R61" s="843"/>
      <c r="S61" s="843"/>
      <c r="T61" s="843"/>
      <c r="U61" s="843"/>
      <c r="V61" s="843"/>
      <c r="W61" s="843"/>
      <c r="X61" s="843"/>
    </row>
    <row r="62" spans="1:24" s="690" customFormat="1" ht="26.25" customHeight="1">
      <c r="A62" s="850" t="s">
        <v>56</v>
      </c>
      <c r="B62" s="845">
        <v>29</v>
      </c>
      <c r="C62" s="845">
        <v>3</v>
      </c>
      <c r="D62" s="845">
        <f t="shared" si="15"/>
        <v>32</v>
      </c>
      <c r="E62" s="845">
        <v>12</v>
      </c>
      <c r="F62" s="845">
        <v>3</v>
      </c>
      <c r="G62" s="845">
        <f t="shared" si="16"/>
        <v>15</v>
      </c>
      <c r="H62" s="845">
        <f t="shared" si="17"/>
        <v>41</v>
      </c>
      <c r="I62" s="845">
        <f t="shared" si="18"/>
        <v>6</v>
      </c>
      <c r="J62" s="857">
        <f t="shared" si="19"/>
        <v>47</v>
      </c>
      <c r="K62" s="841"/>
      <c r="L62" s="842"/>
      <c r="M62" s="843"/>
      <c r="N62" s="843"/>
      <c r="O62" s="843"/>
      <c r="P62" s="843"/>
      <c r="Q62" s="843"/>
      <c r="R62" s="843"/>
      <c r="S62" s="843"/>
      <c r="T62" s="843"/>
      <c r="U62" s="843"/>
      <c r="V62" s="843"/>
      <c r="W62" s="843"/>
      <c r="X62" s="843"/>
    </row>
    <row r="63" spans="1:24" s="690" customFormat="1" ht="26.25" customHeight="1">
      <c r="A63" s="851" t="s">
        <v>68</v>
      </c>
      <c r="B63" s="846">
        <v>33</v>
      </c>
      <c r="C63" s="846">
        <v>3</v>
      </c>
      <c r="D63" s="846">
        <f t="shared" si="15"/>
        <v>36</v>
      </c>
      <c r="E63" s="846">
        <v>13</v>
      </c>
      <c r="F63" s="846">
        <v>2</v>
      </c>
      <c r="G63" s="846">
        <f t="shared" si="16"/>
        <v>15</v>
      </c>
      <c r="H63" s="846">
        <f t="shared" si="17"/>
        <v>46</v>
      </c>
      <c r="I63" s="846">
        <f t="shared" si="18"/>
        <v>5</v>
      </c>
      <c r="J63" s="858">
        <f t="shared" si="19"/>
        <v>51</v>
      </c>
      <c r="K63" s="841"/>
      <c r="L63" s="842"/>
      <c r="M63" s="843"/>
      <c r="N63" s="843"/>
      <c r="O63" s="843"/>
      <c r="P63" s="843"/>
      <c r="Q63" s="843"/>
      <c r="R63" s="843"/>
      <c r="S63" s="843"/>
      <c r="T63" s="843"/>
      <c r="U63" s="843"/>
      <c r="V63" s="843"/>
      <c r="W63" s="843"/>
      <c r="X63" s="843"/>
    </row>
    <row r="64" spans="1:24" s="690" customFormat="1" ht="26.25" customHeight="1">
      <c r="A64" s="850" t="s">
        <v>69</v>
      </c>
      <c r="B64" s="845">
        <v>32</v>
      </c>
      <c r="C64" s="845">
        <v>2</v>
      </c>
      <c r="D64" s="845">
        <f t="shared" si="15"/>
        <v>34</v>
      </c>
      <c r="E64" s="845">
        <v>13</v>
      </c>
      <c r="F64" s="845">
        <v>2</v>
      </c>
      <c r="G64" s="845">
        <f t="shared" si="16"/>
        <v>15</v>
      </c>
      <c r="H64" s="845">
        <f t="shared" si="17"/>
        <v>45</v>
      </c>
      <c r="I64" s="845">
        <f t="shared" si="18"/>
        <v>4</v>
      </c>
      <c r="J64" s="857">
        <f t="shared" si="19"/>
        <v>49</v>
      </c>
      <c r="K64" s="841"/>
      <c r="L64" s="842"/>
      <c r="M64" s="843"/>
      <c r="N64" s="843"/>
      <c r="O64" s="843"/>
      <c r="P64" s="843"/>
      <c r="Q64" s="843"/>
      <c r="R64" s="843"/>
      <c r="S64" s="843"/>
      <c r="T64" s="843"/>
      <c r="U64" s="843"/>
      <c r="V64" s="843"/>
      <c r="W64" s="843"/>
      <c r="X64" s="843"/>
    </row>
    <row r="65" spans="1:24" s="690" customFormat="1" ht="26.25" customHeight="1">
      <c r="A65" s="851" t="s">
        <v>248</v>
      </c>
      <c r="B65" s="846">
        <v>30</v>
      </c>
      <c r="C65" s="846">
        <v>2</v>
      </c>
      <c r="D65" s="846">
        <f t="shared" si="15"/>
        <v>32</v>
      </c>
      <c r="E65" s="846">
        <v>15</v>
      </c>
      <c r="F65" s="846">
        <v>4</v>
      </c>
      <c r="G65" s="846">
        <f t="shared" si="16"/>
        <v>19</v>
      </c>
      <c r="H65" s="846">
        <f t="shared" si="17"/>
        <v>45</v>
      </c>
      <c r="I65" s="846">
        <f t="shared" si="18"/>
        <v>6</v>
      </c>
      <c r="J65" s="858">
        <f t="shared" si="19"/>
        <v>51</v>
      </c>
      <c r="K65" s="841"/>
      <c r="L65" s="842"/>
      <c r="M65" s="843"/>
      <c r="N65" s="843"/>
      <c r="O65" s="843"/>
      <c r="P65" s="843"/>
      <c r="Q65" s="843"/>
      <c r="R65" s="843"/>
      <c r="S65" s="843"/>
      <c r="T65" s="843"/>
      <c r="U65" s="843"/>
      <c r="V65" s="843"/>
      <c r="W65" s="843"/>
      <c r="X65" s="843"/>
    </row>
    <row r="66" spans="1:24" s="690" customFormat="1" ht="26.25" customHeight="1">
      <c r="A66" s="850" t="s">
        <v>244</v>
      </c>
      <c r="B66" s="845">
        <v>31</v>
      </c>
      <c r="C66" s="845">
        <v>2</v>
      </c>
      <c r="D66" s="845">
        <f t="shared" si="15"/>
        <v>33</v>
      </c>
      <c r="E66" s="845">
        <v>15</v>
      </c>
      <c r="F66" s="845">
        <v>4</v>
      </c>
      <c r="G66" s="845">
        <f t="shared" si="16"/>
        <v>19</v>
      </c>
      <c r="H66" s="845">
        <f t="shared" si="17"/>
        <v>46</v>
      </c>
      <c r="I66" s="845">
        <f t="shared" si="18"/>
        <v>6</v>
      </c>
      <c r="J66" s="857">
        <f t="shared" si="19"/>
        <v>52</v>
      </c>
      <c r="K66" s="841"/>
      <c r="L66" s="842"/>
      <c r="M66" s="843"/>
      <c r="N66" s="843"/>
      <c r="O66" s="843"/>
      <c r="P66" s="843"/>
      <c r="Q66" s="843"/>
      <c r="R66" s="843"/>
      <c r="S66" s="843"/>
      <c r="T66" s="843"/>
      <c r="U66" s="843"/>
      <c r="V66" s="843"/>
      <c r="W66" s="843"/>
      <c r="X66" s="843"/>
    </row>
    <row r="67" spans="1:24" s="690" customFormat="1" ht="26.25" customHeight="1">
      <c r="A67" s="852" t="s">
        <v>249</v>
      </c>
      <c r="B67" s="849">
        <v>30</v>
      </c>
      <c r="C67" s="849">
        <v>2</v>
      </c>
      <c r="D67" s="849">
        <f t="shared" si="15"/>
        <v>32</v>
      </c>
      <c r="E67" s="849">
        <v>15</v>
      </c>
      <c r="F67" s="849">
        <v>4</v>
      </c>
      <c r="G67" s="849">
        <f t="shared" si="16"/>
        <v>19</v>
      </c>
      <c r="H67" s="849">
        <f t="shared" si="17"/>
        <v>45</v>
      </c>
      <c r="I67" s="849">
        <f t="shared" si="18"/>
        <v>6</v>
      </c>
      <c r="J67" s="854">
        <f t="shared" si="19"/>
        <v>51</v>
      </c>
      <c r="K67" s="841"/>
      <c r="L67" s="842"/>
      <c r="M67" s="843"/>
      <c r="N67" s="843"/>
      <c r="O67" s="843"/>
      <c r="P67" s="843"/>
      <c r="Q67" s="843"/>
      <c r="R67" s="843"/>
      <c r="S67" s="843"/>
      <c r="T67" s="843"/>
      <c r="U67" s="843"/>
      <c r="V67" s="843"/>
      <c r="W67" s="843"/>
      <c r="X67" s="843"/>
    </row>
    <row r="68" spans="1:24" s="690" customFormat="1" ht="26.25" customHeight="1">
      <c r="A68" s="853" t="s">
        <v>618</v>
      </c>
      <c r="B68" s="847">
        <f t="shared" ref="B68:J68" si="20">AVERAGE(B56:B67)</f>
        <v>29.666666666666668</v>
      </c>
      <c r="C68" s="847">
        <f t="shared" si="20"/>
        <v>2.75</v>
      </c>
      <c r="D68" s="847">
        <f t="shared" si="20"/>
        <v>32.416666666666664</v>
      </c>
      <c r="E68" s="847">
        <f t="shared" si="20"/>
        <v>12.333333333333334</v>
      </c>
      <c r="F68" s="847">
        <f t="shared" si="20"/>
        <v>2.25</v>
      </c>
      <c r="G68" s="847">
        <f t="shared" si="20"/>
        <v>14.583333333333334</v>
      </c>
      <c r="H68" s="847">
        <f t="shared" si="20"/>
        <v>42</v>
      </c>
      <c r="I68" s="847">
        <f t="shared" si="20"/>
        <v>5</v>
      </c>
      <c r="J68" s="855">
        <f t="shared" si="20"/>
        <v>47</v>
      </c>
      <c r="K68" s="841"/>
      <c r="L68" s="842"/>
      <c r="M68" s="843"/>
      <c r="N68" s="843"/>
      <c r="O68" s="843"/>
      <c r="P68" s="843"/>
      <c r="Q68" s="843"/>
      <c r="R68" s="843"/>
      <c r="S68" s="843"/>
      <c r="T68" s="843"/>
      <c r="U68" s="843"/>
      <c r="V68" s="843"/>
      <c r="W68" s="843"/>
      <c r="X68" s="843"/>
    </row>
    <row r="69" spans="1:24" s="690" customFormat="1" ht="26.25" customHeight="1">
      <c r="A69" s="2050" t="s">
        <v>28</v>
      </c>
      <c r="B69" s="848">
        <f>+B68/D68</f>
        <v>0.91516709511568128</v>
      </c>
      <c r="C69" s="848">
        <f>+C68/D68</f>
        <v>8.4832904884318772E-2</v>
      </c>
      <c r="D69" s="848">
        <f>SUM(B69:C69)</f>
        <v>1</v>
      </c>
      <c r="E69" s="848">
        <f>+E68/G68</f>
        <v>0.84571428571428575</v>
      </c>
      <c r="F69" s="848">
        <f>+F68/G68</f>
        <v>0.15428571428571428</v>
      </c>
      <c r="G69" s="848">
        <f>SUM(E69:F69)</f>
        <v>1</v>
      </c>
      <c r="H69" s="848">
        <f>+H68/J68</f>
        <v>0.8936170212765957</v>
      </c>
      <c r="I69" s="848">
        <f>+I68/J68</f>
        <v>0.10638297872340426</v>
      </c>
      <c r="J69" s="859">
        <f>SUM(H69:I69)</f>
        <v>1</v>
      </c>
      <c r="K69" s="844"/>
      <c r="L69" s="840"/>
      <c r="M69" s="836"/>
      <c r="N69" s="836"/>
      <c r="O69" s="836"/>
      <c r="P69" s="836"/>
      <c r="Q69" s="836"/>
      <c r="R69" s="836"/>
      <c r="S69" s="836"/>
      <c r="T69" s="836"/>
      <c r="U69" s="836"/>
      <c r="V69" s="836"/>
      <c r="W69" s="836"/>
      <c r="X69" s="836"/>
    </row>
    <row r="70" spans="1:24" s="690" customFormat="1" ht="26.25" customHeight="1" thickBot="1">
      <c r="A70" s="2049"/>
      <c r="B70" s="2040">
        <f>+D68/H68</f>
        <v>0.77182539682539675</v>
      </c>
      <c r="C70" s="2041"/>
      <c r="D70" s="2042"/>
      <c r="E70" s="2040">
        <f>+G68/H68</f>
        <v>0.34722222222222221</v>
      </c>
      <c r="F70" s="2041"/>
      <c r="G70" s="2042"/>
      <c r="H70" s="2040">
        <f>SUM(B70:G70)</f>
        <v>1.1190476190476191</v>
      </c>
      <c r="I70" s="2041"/>
      <c r="J70" s="2043"/>
      <c r="K70" s="840"/>
      <c r="L70" s="840"/>
      <c r="M70" s="836"/>
      <c r="N70" s="836"/>
      <c r="O70" s="836"/>
      <c r="P70" s="836"/>
      <c r="Q70" s="836"/>
      <c r="R70" s="836"/>
      <c r="S70" s="836"/>
      <c r="T70" s="836"/>
      <c r="U70" s="836"/>
      <c r="V70" s="836"/>
      <c r="W70" s="836"/>
      <c r="X70" s="836"/>
    </row>
    <row r="73" spans="1:24">
      <c r="B73" s="833" t="s">
        <v>623</v>
      </c>
    </row>
    <row r="74" spans="1:24" ht="26.25" thickBot="1"/>
    <row r="75" spans="1:24" s="690" customFormat="1" ht="26.25" customHeight="1">
      <c r="A75" s="2048" t="s">
        <v>21</v>
      </c>
      <c r="B75" s="2054" t="s">
        <v>8</v>
      </c>
      <c r="C75" s="2052"/>
      <c r="D75" s="2053"/>
      <c r="E75" s="2054" t="s">
        <v>9</v>
      </c>
      <c r="F75" s="2052"/>
      <c r="G75" s="2053"/>
      <c r="H75" s="2051" t="s">
        <v>625</v>
      </c>
      <c r="I75" s="2052"/>
      <c r="J75" s="2055"/>
      <c r="K75" s="837"/>
      <c r="L75" s="836"/>
      <c r="M75" s="836"/>
      <c r="N75" s="836"/>
      <c r="O75" s="836"/>
      <c r="P75" s="836"/>
      <c r="Q75" s="836"/>
      <c r="R75" s="836"/>
      <c r="S75" s="836"/>
      <c r="T75" s="836"/>
      <c r="U75" s="836"/>
      <c r="V75" s="836"/>
      <c r="W75" s="836"/>
      <c r="X75" s="836"/>
    </row>
    <row r="76" spans="1:24" s="690" customFormat="1" ht="26.25" customHeight="1" thickBot="1">
      <c r="A76" s="2049"/>
      <c r="B76" s="838" t="s">
        <v>44</v>
      </c>
      <c r="C76" s="838" t="s">
        <v>45</v>
      </c>
      <c r="D76" s="838" t="s">
        <v>6</v>
      </c>
      <c r="E76" s="838" t="s">
        <v>44</v>
      </c>
      <c r="F76" s="838" t="s">
        <v>45</v>
      </c>
      <c r="G76" s="838" t="s">
        <v>6</v>
      </c>
      <c r="H76" s="838" t="s">
        <v>44</v>
      </c>
      <c r="I76" s="838" t="s">
        <v>45</v>
      </c>
      <c r="J76" s="856" t="s">
        <v>6</v>
      </c>
      <c r="K76" s="839"/>
      <c r="L76" s="840"/>
      <c r="M76" s="836"/>
      <c r="N76" s="836"/>
      <c r="O76" s="836"/>
      <c r="P76" s="836"/>
      <c r="Q76" s="836"/>
      <c r="R76" s="836"/>
      <c r="S76" s="836"/>
      <c r="T76" s="836"/>
      <c r="U76" s="836"/>
      <c r="V76" s="836"/>
      <c r="W76" s="836"/>
      <c r="X76" s="836"/>
    </row>
    <row r="77" spans="1:24" s="690" customFormat="1" ht="26.25" customHeight="1">
      <c r="A77" s="850" t="s">
        <v>612</v>
      </c>
      <c r="B77" s="845">
        <f t="shared" ref="B77:C88" si="21">+B14+B35+B56</f>
        <v>981</v>
      </c>
      <c r="C77" s="845">
        <f t="shared" si="21"/>
        <v>139</v>
      </c>
      <c r="D77" s="845">
        <f>SUM(B77:C77)</f>
        <v>1120</v>
      </c>
      <c r="E77" s="845">
        <f t="shared" ref="E77:F88" si="22">+E14+E35+E56</f>
        <v>772</v>
      </c>
      <c r="F77" s="845">
        <f t="shared" si="22"/>
        <v>95</v>
      </c>
      <c r="G77" s="845">
        <f>SUM(E77:F77)</f>
        <v>867</v>
      </c>
      <c r="H77" s="845">
        <f>+B77+E77</f>
        <v>1753</v>
      </c>
      <c r="I77" s="845">
        <f>+C77+F77</f>
        <v>234</v>
      </c>
      <c r="J77" s="857">
        <f>SUM(H77:I77)</f>
        <v>1987</v>
      </c>
      <c r="K77" s="841"/>
      <c r="L77" s="842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</row>
    <row r="78" spans="1:24" s="690" customFormat="1" ht="26.25" customHeight="1">
      <c r="A78" s="851" t="s">
        <v>12</v>
      </c>
      <c r="B78" s="846">
        <f t="shared" si="21"/>
        <v>999</v>
      </c>
      <c r="C78" s="846">
        <f t="shared" si="21"/>
        <v>140</v>
      </c>
      <c r="D78" s="846">
        <f t="shared" ref="D78:D88" si="23">SUM(B78:C78)</f>
        <v>1139</v>
      </c>
      <c r="E78" s="846">
        <f t="shared" si="22"/>
        <v>810</v>
      </c>
      <c r="F78" s="846">
        <f t="shared" si="22"/>
        <v>96</v>
      </c>
      <c r="G78" s="846">
        <f t="shared" ref="G78:G88" si="24">SUM(E78:F78)</f>
        <v>906</v>
      </c>
      <c r="H78" s="846">
        <f t="shared" ref="H78:H88" si="25">+B78+E78</f>
        <v>1809</v>
      </c>
      <c r="I78" s="846">
        <f t="shared" ref="I78:I88" si="26">+C78+F78</f>
        <v>236</v>
      </c>
      <c r="J78" s="858">
        <f t="shared" ref="J78:J88" si="27">SUM(H78:I78)</f>
        <v>2045</v>
      </c>
      <c r="K78" s="841"/>
      <c r="L78" s="842"/>
      <c r="M78" s="843"/>
      <c r="N78" s="843"/>
      <c r="O78" s="843"/>
      <c r="P78" s="843"/>
      <c r="Q78" s="843"/>
      <c r="R78" s="843"/>
      <c r="S78" s="843"/>
      <c r="T78" s="843"/>
      <c r="U78" s="843"/>
      <c r="V78" s="843"/>
      <c r="W78" s="843"/>
      <c r="X78" s="843"/>
    </row>
    <row r="79" spans="1:24" s="690" customFormat="1" ht="26.25" customHeight="1">
      <c r="A79" s="850" t="s">
        <v>13</v>
      </c>
      <c r="B79" s="845">
        <f t="shared" si="21"/>
        <v>974</v>
      </c>
      <c r="C79" s="845">
        <f t="shared" si="21"/>
        <v>136</v>
      </c>
      <c r="D79" s="845">
        <f t="shared" si="23"/>
        <v>1110</v>
      </c>
      <c r="E79" s="845">
        <f t="shared" si="22"/>
        <v>833</v>
      </c>
      <c r="F79" s="845">
        <f t="shared" si="22"/>
        <v>101</v>
      </c>
      <c r="G79" s="845">
        <f t="shared" si="24"/>
        <v>934</v>
      </c>
      <c r="H79" s="845">
        <f t="shared" si="25"/>
        <v>1807</v>
      </c>
      <c r="I79" s="845">
        <f t="shared" si="26"/>
        <v>237</v>
      </c>
      <c r="J79" s="857">
        <f t="shared" si="27"/>
        <v>2044</v>
      </c>
      <c r="K79" s="841"/>
      <c r="L79" s="842"/>
      <c r="M79" s="843"/>
      <c r="N79" s="843"/>
      <c r="O79" s="843"/>
      <c r="P79" s="843"/>
      <c r="Q79" s="843"/>
      <c r="R79" s="843"/>
      <c r="S79" s="843"/>
      <c r="T79" s="843"/>
      <c r="U79" s="843"/>
      <c r="V79" s="843"/>
      <c r="W79" s="843"/>
      <c r="X79" s="843"/>
    </row>
    <row r="80" spans="1:24" s="690" customFormat="1" ht="26.25" customHeight="1">
      <c r="A80" s="851" t="s">
        <v>53</v>
      </c>
      <c r="B80" s="846">
        <f t="shared" si="21"/>
        <v>958</v>
      </c>
      <c r="C80" s="846">
        <f t="shared" si="21"/>
        <v>134</v>
      </c>
      <c r="D80" s="846">
        <f t="shared" si="23"/>
        <v>1092</v>
      </c>
      <c r="E80" s="846">
        <f t="shared" si="22"/>
        <v>834</v>
      </c>
      <c r="F80" s="846">
        <f t="shared" si="22"/>
        <v>94</v>
      </c>
      <c r="G80" s="846">
        <f t="shared" si="24"/>
        <v>928</v>
      </c>
      <c r="H80" s="846">
        <f t="shared" si="25"/>
        <v>1792</v>
      </c>
      <c r="I80" s="846">
        <f t="shared" si="26"/>
        <v>228</v>
      </c>
      <c r="J80" s="858">
        <f t="shared" si="27"/>
        <v>2020</v>
      </c>
      <c r="K80" s="841"/>
      <c r="L80" s="842"/>
      <c r="M80" s="843"/>
      <c r="N80" s="843"/>
      <c r="O80" s="843"/>
      <c r="P80" s="843"/>
      <c r="Q80" s="843"/>
      <c r="R80" s="843"/>
      <c r="S80" s="843"/>
      <c r="T80" s="843"/>
      <c r="U80" s="843"/>
      <c r="V80" s="843"/>
      <c r="W80" s="843"/>
      <c r="X80" s="843"/>
    </row>
    <row r="81" spans="1:24" s="690" customFormat="1" ht="26.25" customHeight="1">
      <c r="A81" s="850" t="s">
        <v>243</v>
      </c>
      <c r="B81" s="845">
        <f t="shared" si="21"/>
        <v>941</v>
      </c>
      <c r="C81" s="845">
        <f t="shared" si="21"/>
        <v>132</v>
      </c>
      <c r="D81" s="845">
        <f t="shared" si="23"/>
        <v>1073</v>
      </c>
      <c r="E81" s="845">
        <f t="shared" si="22"/>
        <v>834</v>
      </c>
      <c r="F81" s="845">
        <f t="shared" si="22"/>
        <v>94</v>
      </c>
      <c r="G81" s="845">
        <f t="shared" si="24"/>
        <v>928</v>
      </c>
      <c r="H81" s="845">
        <f t="shared" si="25"/>
        <v>1775</v>
      </c>
      <c r="I81" s="845">
        <f t="shared" si="26"/>
        <v>226</v>
      </c>
      <c r="J81" s="857">
        <f t="shared" si="27"/>
        <v>2001</v>
      </c>
      <c r="K81" s="841"/>
      <c r="L81" s="842"/>
      <c r="M81" s="843"/>
      <c r="N81" s="843"/>
      <c r="O81" s="843"/>
      <c r="P81" s="843"/>
      <c r="Q81" s="843"/>
      <c r="R81" s="843"/>
      <c r="S81" s="843"/>
      <c r="T81" s="843"/>
      <c r="U81" s="843"/>
      <c r="V81" s="843"/>
      <c r="W81" s="843"/>
      <c r="X81" s="843"/>
    </row>
    <row r="82" spans="1:24" s="690" customFormat="1" ht="26.25" customHeight="1">
      <c r="A82" s="851" t="s">
        <v>54</v>
      </c>
      <c r="B82" s="846">
        <f t="shared" si="21"/>
        <v>916</v>
      </c>
      <c r="C82" s="846">
        <f t="shared" si="21"/>
        <v>131</v>
      </c>
      <c r="D82" s="846">
        <f t="shared" si="23"/>
        <v>1047</v>
      </c>
      <c r="E82" s="846">
        <f t="shared" si="22"/>
        <v>843</v>
      </c>
      <c r="F82" s="846">
        <f t="shared" si="22"/>
        <v>95</v>
      </c>
      <c r="G82" s="846">
        <f t="shared" si="24"/>
        <v>938</v>
      </c>
      <c r="H82" s="846">
        <f t="shared" si="25"/>
        <v>1759</v>
      </c>
      <c r="I82" s="846">
        <f t="shared" si="26"/>
        <v>226</v>
      </c>
      <c r="J82" s="858">
        <f t="shared" si="27"/>
        <v>1985</v>
      </c>
      <c r="K82" s="841"/>
      <c r="L82" s="842"/>
      <c r="M82" s="843"/>
      <c r="N82" s="843"/>
      <c r="O82" s="843"/>
      <c r="P82" s="843"/>
      <c r="Q82" s="843"/>
      <c r="R82" s="843"/>
      <c r="S82" s="843"/>
      <c r="T82" s="843"/>
      <c r="U82" s="843"/>
      <c r="V82" s="843"/>
      <c r="W82" s="843"/>
      <c r="X82" s="843"/>
    </row>
    <row r="83" spans="1:24" s="690" customFormat="1" ht="26.25" customHeight="1">
      <c r="A83" s="850" t="s">
        <v>56</v>
      </c>
      <c r="B83" s="845">
        <f t="shared" si="21"/>
        <v>881</v>
      </c>
      <c r="C83" s="845">
        <f t="shared" si="21"/>
        <v>126</v>
      </c>
      <c r="D83" s="845">
        <f t="shared" si="23"/>
        <v>1007</v>
      </c>
      <c r="E83" s="845">
        <f t="shared" si="22"/>
        <v>843</v>
      </c>
      <c r="F83" s="845">
        <f t="shared" si="22"/>
        <v>100</v>
      </c>
      <c r="G83" s="845">
        <f t="shared" si="24"/>
        <v>943</v>
      </c>
      <c r="H83" s="845">
        <f t="shared" si="25"/>
        <v>1724</v>
      </c>
      <c r="I83" s="845">
        <f t="shared" si="26"/>
        <v>226</v>
      </c>
      <c r="J83" s="857">
        <f t="shared" si="27"/>
        <v>1950</v>
      </c>
      <c r="K83" s="841"/>
      <c r="L83" s="842"/>
      <c r="M83" s="843"/>
      <c r="N83" s="843"/>
      <c r="O83" s="843"/>
      <c r="P83" s="843"/>
      <c r="Q83" s="843"/>
      <c r="R83" s="843"/>
      <c r="S83" s="843"/>
      <c r="T83" s="843"/>
      <c r="U83" s="843"/>
      <c r="V83" s="843"/>
      <c r="W83" s="843"/>
      <c r="X83" s="843"/>
    </row>
    <row r="84" spans="1:24" s="690" customFormat="1" ht="26.25" customHeight="1">
      <c r="A84" s="851" t="s">
        <v>68</v>
      </c>
      <c r="B84" s="846">
        <f t="shared" si="21"/>
        <v>862</v>
      </c>
      <c r="C84" s="846">
        <f t="shared" si="21"/>
        <v>123</v>
      </c>
      <c r="D84" s="846">
        <f t="shared" si="23"/>
        <v>985</v>
      </c>
      <c r="E84" s="846">
        <f t="shared" si="22"/>
        <v>853</v>
      </c>
      <c r="F84" s="846">
        <f t="shared" si="22"/>
        <v>100</v>
      </c>
      <c r="G84" s="846">
        <f t="shared" si="24"/>
        <v>953</v>
      </c>
      <c r="H84" s="846">
        <f t="shared" si="25"/>
        <v>1715</v>
      </c>
      <c r="I84" s="846">
        <f t="shared" si="26"/>
        <v>223</v>
      </c>
      <c r="J84" s="858">
        <f t="shared" si="27"/>
        <v>1938</v>
      </c>
      <c r="K84" s="841"/>
      <c r="L84" s="842"/>
      <c r="M84" s="843"/>
      <c r="N84" s="843"/>
      <c r="O84" s="843"/>
      <c r="P84" s="843"/>
      <c r="Q84" s="843"/>
      <c r="R84" s="843"/>
      <c r="S84" s="843"/>
      <c r="T84" s="843"/>
      <c r="U84" s="843"/>
      <c r="V84" s="843"/>
      <c r="W84" s="843"/>
      <c r="X84" s="843"/>
    </row>
    <row r="85" spans="1:24" s="690" customFormat="1" ht="26.25" customHeight="1">
      <c r="A85" s="850" t="s">
        <v>69</v>
      </c>
      <c r="B85" s="845">
        <f t="shared" si="21"/>
        <v>864</v>
      </c>
      <c r="C85" s="845">
        <f t="shared" si="21"/>
        <v>118</v>
      </c>
      <c r="D85" s="845">
        <f t="shared" si="23"/>
        <v>982</v>
      </c>
      <c r="E85" s="845">
        <f t="shared" si="22"/>
        <v>851</v>
      </c>
      <c r="F85" s="845">
        <f t="shared" si="22"/>
        <v>103</v>
      </c>
      <c r="G85" s="845">
        <f t="shared" si="24"/>
        <v>954</v>
      </c>
      <c r="H85" s="845">
        <f t="shared" si="25"/>
        <v>1715</v>
      </c>
      <c r="I85" s="845">
        <f t="shared" si="26"/>
        <v>221</v>
      </c>
      <c r="J85" s="857">
        <f t="shared" si="27"/>
        <v>1936</v>
      </c>
      <c r="K85" s="841"/>
      <c r="L85" s="842"/>
      <c r="M85" s="843"/>
      <c r="N85" s="843"/>
      <c r="O85" s="843"/>
      <c r="P85" s="843"/>
      <c r="Q85" s="843"/>
      <c r="R85" s="843"/>
      <c r="S85" s="843"/>
      <c r="T85" s="843"/>
      <c r="U85" s="843"/>
      <c r="V85" s="843"/>
      <c r="W85" s="843"/>
      <c r="X85" s="843"/>
    </row>
    <row r="86" spans="1:24" s="690" customFormat="1" ht="26.25" customHeight="1">
      <c r="A86" s="851" t="s">
        <v>248</v>
      </c>
      <c r="B86" s="846">
        <f t="shared" si="21"/>
        <v>857</v>
      </c>
      <c r="C86" s="846">
        <f t="shared" si="21"/>
        <v>128</v>
      </c>
      <c r="D86" s="846">
        <f t="shared" si="23"/>
        <v>985</v>
      </c>
      <c r="E86" s="846">
        <f t="shared" si="22"/>
        <v>848</v>
      </c>
      <c r="F86" s="846">
        <f t="shared" si="22"/>
        <v>102</v>
      </c>
      <c r="G86" s="846">
        <f t="shared" si="24"/>
        <v>950</v>
      </c>
      <c r="H86" s="846">
        <f t="shared" si="25"/>
        <v>1705</v>
      </c>
      <c r="I86" s="846">
        <f t="shared" si="26"/>
        <v>230</v>
      </c>
      <c r="J86" s="858">
        <f t="shared" si="27"/>
        <v>1935</v>
      </c>
      <c r="K86" s="841"/>
      <c r="L86" s="842"/>
      <c r="M86" s="843"/>
      <c r="N86" s="843"/>
      <c r="O86" s="843"/>
      <c r="P86" s="843"/>
      <c r="Q86" s="843"/>
      <c r="R86" s="843"/>
      <c r="S86" s="843"/>
      <c r="T86" s="843"/>
      <c r="U86" s="843"/>
      <c r="V86" s="843"/>
      <c r="W86" s="843"/>
      <c r="X86" s="843"/>
    </row>
    <row r="87" spans="1:24" s="690" customFormat="1" ht="26.25" customHeight="1">
      <c r="A87" s="850" t="s">
        <v>244</v>
      </c>
      <c r="B87" s="845">
        <f t="shared" si="21"/>
        <v>854</v>
      </c>
      <c r="C87" s="845">
        <f t="shared" si="21"/>
        <v>134</v>
      </c>
      <c r="D87" s="845">
        <f t="shared" si="23"/>
        <v>988</v>
      </c>
      <c r="E87" s="845">
        <f t="shared" si="22"/>
        <v>859</v>
      </c>
      <c r="F87" s="845">
        <f t="shared" si="22"/>
        <v>103</v>
      </c>
      <c r="G87" s="845">
        <f t="shared" si="24"/>
        <v>962</v>
      </c>
      <c r="H87" s="845">
        <f t="shared" si="25"/>
        <v>1713</v>
      </c>
      <c r="I87" s="845">
        <f t="shared" si="26"/>
        <v>237</v>
      </c>
      <c r="J87" s="857">
        <f t="shared" si="27"/>
        <v>1950</v>
      </c>
      <c r="K87" s="841"/>
      <c r="L87" s="842"/>
      <c r="M87" s="843"/>
      <c r="N87" s="843"/>
      <c r="O87" s="843"/>
      <c r="P87" s="843"/>
      <c r="Q87" s="843"/>
      <c r="R87" s="843"/>
      <c r="S87" s="843"/>
      <c r="T87" s="843"/>
      <c r="U87" s="843"/>
      <c r="V87" s="843"/>
      <c r="W87" s="843"/>
      <c r="X87" s="843"/>
    </row>
    <row r="88" spans="1:24" s="690" customFormat="1" ht="26.25" customHeight="1">
      <c r="A88" s="852" t="s">
        <v>249</v>
      </c>
      <c r="B88" s="849">
        <f t="shared" si="21"/>
        <v>862</v>
      </c>
      <c r="C88" s="849">
        <f t="shared" si="21"/>
        <v>152</v>
      </c>
      <c r="D88" s="849">
        <f t="shared" si="23"/>
        <v>1014</v>
      </c>
      <c r="E88" s="849">
        <f t="shared" si="22"/>
        <v>887</v>
      </c>
      <c r="F88" s="849">
        <f t="shared" si="22"/>
        <v>99</v>
      </c>
      <c r="G88" s="849">
        <f t="shared" si="24"/>
        <v>986</v>
      </c>
      <c r="H88" s="849">
        <f t="shared" si="25"/>
        <v>1749</v>
      </c>
      <c r="I88" s="849">
        <f t="shared" si="26"/>
        <v>251</v>
      </c>
      <c r="J88" s="854">
        <f t="shared" si="27"/>
        <v>2000</v>
      </c>
      <c r="K88" s="841"/>
      <c r="L88" s="842"/>
      <c r="M88" s="843"/>
      <c r="N88" s="843"/>
      <c r="O88" s="843"/>
      <c r="P88" s="843"/>
      <c r="Q88" s="843"/>
      <c r="R88" s="843"/>
      <c r="S88" s="843"/>
      <c r="T88" s="843"/>
      <c r="U88" s="843"/>
      <c r="V88" s="843"/>
      <c r="W88" s="843"/>
      <c r="X88" s="843"/>
    </row>
    <row r="89" spans="1:24" s="690" customFormat="1" ht="26.25" customHeight="1">
      <c r="A89" s="853" t="s">
        <v>618</v>
      </c>
      <c r="B89" s="847">
        <f t="shared" ref="B89:J89" si="28">AVERAGE(B77:B88)</f>
        <v>912.41666666666663</v>
      </c>
      <c r="C89" s="847">
        <f t="shared" si="28"/>
        <v>132.75</v>
      </c>
      <c r="D89" s="847">
        <f t="shared" si="28"/>
        <v>1045.1666666666667</v>
      </c>
      <c r="E89" s="847">
        <f t="shared" si="28"/>
        <v>838.91666666666663</v>
      </c>
      <c r="F89" s="847">
        <f t="shared" si="28"/>
        <v>98.5</v>
      </c>
      <c r="G89" s="847">
        <f t="shared" si="28"/>
        <v>937.41666666666663</v>
      </c>
      <c r="H89" s="847">
        <f t="shared" si="28"/>
        <v>1751.3333333333333</v>
      </c>
      <c r="I89" s="847">
        <f t="shared" si="28"/>
        <v>231.25</v>
      </c>
      <c r="J89" s="855">
        <f t="shared" si="28"/>
        <v>1982.5833333333333</v>
      </c>
      <c r="K89" s="841"/>
      <c r="L89" s="842"/>
      <c r="M89" s="843"/>
      <c r="N89" s="843"/>
      <c r="O89" s="843"/>
      <c r="P89" s="843"/>
      <c r="Q89" s="843"/>
      <c r="R89" s="843"/>
      <c r="S89" s="843"/>
      <c r="T89" s="843"/>
      <c r="U89" s="843"/>
      <c r="V89" s="843"/>
      <c r="W89" s="843"/>
      <c r="X89" s="843"/>
    </row>
    <row r="90" spans="1:24" s="690" customFormat="1" ht="26.25" customHeight="1">
      <c r="A90" s="2050" t="s">
        <v>28</v>
      </c>
      <c r="B90" s="848">
        <f>+B89/D89</f>
        <v>0.87298676447137613</v>
      </c>
      <c r="C90" s="848">
        <f>+C89/D89</f>
        <v>0.12701323552862381</v>
      </c>
      <c r="D90" s="848">
        <f>SUM(B90:C90)</f>
        <v>1</v>
      </c>
      <c r="E90" s="848">
        <f>+E89/G89</f>
        <v>0.89492399324384386</v>
      </c>
      <c r="F90" s="848">
        <f>+F89/G89</f>
        <v>0.10507600675615611</v>
      </c>
      <c r="G90" s="848">
        <f>SUM(E90:F90)</f>
        <v>1</v>
      </c>
      <c r="H90" s="848">
        <f>+H89/J89</f>
        <v>0.8833592534992224</v>
      </c>
      <c r="I90" s="848">
        <f>+I89/J89</f>
        <v>0.1166407465007776</v>
      </c>
      <c r="J90" s="859">
        <f>SUM(H90:I90)</f>
        <v>1</v>
      </c>
      <c r="K90" s="844"/>
      <c r="L90" s="840"/>
      <c r="M90" s="836"/>
      <c r="N90" s="836"/>
      <c r="O90" s="836"/>
      <c r="P90" s="836"/>
      <c r="Q90" s="836"/>
      <c r="R90" s="836"/>
      <c r="S90" s="836"/>
      <c r="T90" s="836"/>
      <c r="U90" s="836"/>
      <c r="V90" s="836"/>
      <c r="W90" s="836"/>
      <c r="X90" s="836"/>
    </row>
    <row r="91" spans="1:24" s="690" customFormat="1" ht="26.25" customHeight="1" thickBot="1">
      <c r="A91" s="2049"/>
      <c r="B91" s="2040">
        <f>+D89/H89</f>
        <v>0.59678340312143141</v>
      </c>
      <c r="C91" s="2041"/>
      <c r="D91" s="2042"/>
      <c r="E91" s="2040">
        <f>+G89/H89</f>
        <v>0.53525885039969545</v>
      </c>
      <c r="F91" s="2041"/>
      <c r="G91" s="2042"/>
      <c r="H91" s="2040">
        <f>SUM(B91:G91)</f>
        <v>1.132042253521127</v>
      </c>
      <c r="I91" s="2041"/>
      <c r="J91" s="2043"/>
      <c r="K91" s="840"/>
      <c r="L91" s="840"/>
      <c r="M91" s="836"/>
      <c r="N91" s="836"/>
      <c r="O91" s="836"/>
      <c r="P91" s="836"/>
      <c r="Q91" s="836"/>
      <c r="R91" s="836"/>
      <c r="S91" s="836"/>
      <c r="T91" s="836"/>
      <c r="U91" s="836"/>
      <c r="V91" s="836"/>
      <c r="W91" s="836"/>
      <c r="X91" s="836"/>
    </row>
    <row r="94" spans="1:24">
      <c r="B94" s="833" t="s">
        <v>624</v>
      </c>
    </row>
    <row r="95" spans="1:24" ht="26.25" thickBot="1"/>
    <row r="96" spans="1:24" s="690" customFormat="1" ht="26.25" customHeight="1">
      <c r="A96" s="2048" t="s">
        <v>21</v>
      </c>
      <c r="B96" s="2051" t="s">
        <v>415</v>
      </c>
      <c r="C96" s="2052"/>
      <c r="D96" s="2053"/>
      <c r="E96" s="2044" t="s">
        <v>23</v>
      </c>
      <c r="F96" s="2045"/>
      <c r="G96" s="2045"/>
      <c r="H96" s="2044" t="s">
        <v>131</v>
      </c>
      <c r="I96" s="2045"/>
      <c r="J96" s="2045"/>
      <c r="K96" s="2044" t="s">
        <v>625</v>
      </c>
      <c r="L96" s="2045"/>
      <c r="M96" s="2046"/>
      <c r="N96" s="836"/>
      <c r="O96" s="836"/>
      <c r="P96" s="836"/>
      <c r="Q96" s="836"/>
      <c r="R96" s="836"/>
      <c r="S96" s="836"/>
      <c r="T96" s="836"/>
      <c r="U96" s="836"/>
      <c r="V96" s="836"/>
      <c r="W96" s="836"/>
      <c r="X96" s="836"/>
    </row>
    <row r="97" spans="1:24" s="690" customFormat="1" ht="26.25" customHeight="1" thickBot="1">
      <c r="A97" s="2049"/>
      <c r="B97" s="838" t="s">
        <v>44</v>
      </c>
      <c r="C97" s="838" t="s">
        <v>45</v>
      </c>
      <c r="D97" s="838" t="s">
        <v>6</v>
      </c>
      <c r="E97" s="838" t="s">
        <v>44</v>
      </c>
      <c r="F97" s="838" t="s">
        <v>45</v>
      </c>
      <c r="G97" s="838" t="s">
        <v>6</v>
      </c>
      <c r="H97" s="838" t="s">
        <v>44</v>
      </c>
      <c r="I97" s="838" t="s">
        <v>45</v>
      </c>
      <c r="J97" s="838" t="s">
        <v>6</v>
      </c>
      <c r="K97" s="838" t="s">
        <v>44</v>
      </c>
      <c r="L97" s="838" t="s">
        <v>45</v>
      </c>
      <c r="M97" s="856" t="s">
        <v>6</v>
      </c>
      <c r="N97" s="836"/>
      <c r="O97" s="836"/>
      <c r="P97" s="836"/>
      <c r="Q97" s="836"/>
      <c r="R97" s="836"/>
      <c r="S97" s="836"/>
      <c r="T97" s="836"/>
      <c r="U97" s="836"/>
      <c r="V97" s="836"/>
      <c r="W97" s="836"/>
      <c r="X97" s="836"/>
    </row>
    <row r="98" spans="1:24" s="690" customFormat="1" ht="26.25" customHeight="1">
      <c r="A98" s="850" t="s">
        <v>612</v>
      </c>
      <c r="B98" s="845">
        <f t="shared" ref="B98:B109" si="29">+H14</f>
        <v>1345</v>
      </c>
      <c r="C98" s="845">
        <f t="shared" ref="C98:C109" si="30">+I14</f>
        <v>160</v>
      </c>
      <c r="D98" s="845">
        <f>SUM(B98:C98)</f>
        <v>1505</v>
      </c>
      <c r="E98" s="845">
        <f t="shared" ref="E98:E109" si="31">+H35</f>
        <v>369</v>
      </c>
      <c r="F98" s="845">
        <f t="shared" ref="F98:F109" si="32">+I35</f>
        <v>70</v>
      </c>
      <c r="G98" s="845">
        <f>SUM(E98:F98)</f>
        <v>439</v>
      </c>
      <c r="H98" s="845">
        <f t="shared" ref="H98:I109" si="33">+H56</f>
        <v>39</v>
      </c>
      <c r="I98" s="845">
        <f t="shared" si="33"/>
        <v>4</v>
      </c>
      <c r="J98" s="864">
        <f>SUM(H98:I98)</f>
        <v>43</v>
      </c>
      <c r="K98" s="864">
        <f>+B98+E98+H98</f>
        <v>1753</v>
      </c>
      <c r="L98" s="845">
        <f>+C98+F98+I98</f>
        <v>234</v>
      </c>
      <c r="M98" s="857">
        <f>+K98+L98</f>
        <v>1987</v>
      </c>
      <c r="N98" s="843"/>
      <c r="O98" s="843"/>
      <c r="P98" s="843"/>
      <c r="Q98" s="843"/>
      <c r="R98" s="843"/>
      <c r="S98" s="843"/>
      <c r="T98" s="843"/>
      <c r="U98" s="843"/>
      <c r="V98" s="843"/>
      <c r="W98" s="843"/>
      <c r="X98" s="843"/>
    </row>
    <row r="99" spans="1:24" s="690" customFormat="1" ht="26.25" customHeight="1">
      <c r="A99" s="851" t="s">
        <v>12</v>
      </c>
      <c r="B99" s="846">
        <f t="shared" si="29"/>
        <v>1386</v>
      </c>
      <c r="C99" s="846">
        <f t="shared" si="30"/>
        <v>158</v>
      </c>
      <c r="D99" s="846">
        <f t="shared" ref="D99:D109" si="34">SUM(B99:C99)</f>
        <v>1544</v>
      </c>
      <c r="E99" s="846">
        <f t="shared" si="31"/>
        <v>385</v>
      </c>
      <c r="F99" s="846">
        <f t="shared" si="32"/>
        <v>74</v>
      </c>
      <c r="G99" s="846">
        <f t="shared" ref="G99:G109" si="35">SUM(E99:F99)</f>
        <v>459</v>
      </c>
      <c r="H99" s="846">
        <f t="shared" si="33"/>
        <v>38</v>
      </c>
      <c r="I99" s="846">
        <f t="shared" si="33"/>
        <v>4</v>
      </c>
      <c r="J99" s="846">
        <f t="shared" ref="J99:J109" si="36">SUM(H99:I99)</f>
        <v>42</v>
      </c>
      <c r="K99" s="846">
        <f t="shared" ref="K99:K109" si="37">+B99+E99+H99</f>
        <v>1809</v>
      </c>
      <c r="L99" s="846">
        <f t="shared" ref="L99:L109" si="38">+C99+F99+I99</f>
        <v>236</v>
      </c>
      <c r="M99" s="858">
        <f t="shared" ref="M99:M109" si="39">+K99+L99</f>
        <v>2045</v>
      </c>
      <c r="N99" s="843"/>
      <c r="O99" s="843"/>
      <c r="P99" s="843"/>
      <c r="Q99" s="843"/>
      <c r="R99" s="843"/>
      <c r="S99" s="843"/>
      <c r="T99" s="843"/>
      <c r="U99" s="843"/>
      <c r="V99" s="843"/>
      <c r="W99" s="843"/>
      <c r="X99" s="843"/>
    </row>
    <row r="100" spans="1:24" s="690" customFormat="1" ht="26.25" customHeight="1">
      <c r="A100" s="850" t="s">
        <v>13</v>
      </c>
      <c r="B100" s="845">
        <f t="shared" si="29"/>
        <v>1369</v>
      </c>
      <c r="C100" s="845">
        <f t="shared" si="30"/>
        <v>159</v>
      </c>
      <c r="D100" s="845">
        <f t="shared" si="34"/>
        <v>1528</v>
      </c>
      <c r="E100" s="845">
        <f t="shared" si="31"/>
        <v>401</v>
      </c>
      <c r="F100" s="845">
        <f t="shared" si="32"/>
        <v>74</v>
      </c>
      <c r="G100" s="845">
        <f t="shared" si="35"/>
        <v>475</v>
      </c>
      <c r="H100" s="845">
        <f t="shared" si="33"/>
        <v>37</v>
      </c>
      <c r="I100" s="845">
        <f t="shared" si="33"/>
        <v>4</v>
      </c>
      <c r="J100" s="845">
        <f t="shared" si="36"/>
        <v>41</v>
      </c>
      <c r="K100" s="845">
        <f t="shared" si="37"/>
        <v>1807</v>
      </c>
      <c r="L100" s="845">
        <f t="shared" si="38"/>
        <v>237</v>
      </c>
      <c r="M100" s="857">
        <f t="shared" si="39"/>
        <v>2044</v>
      </c>
      <c r="N100" s="843"/>
      <c r="O100" s="843"/>
      <c r="P100" s="843"/>
      <c r="Q100" s="843"/>
      <c r="R100" s="843"/>
      <c r="S100" s="843"/>
      <c r="T100" s="843"/>
      <c r="U100" s="843"/>
      <c r="V100" s="843"/>
      <c r="W100" s="843"/>
      <c r="X100" s="843"/>
    </row>
    <row r="101" spans="1:24" s="690" customFormat="1" ht="26.25" customHeight="1">
      <c r="A101" s="851" t="s">
        <v>53</v>
      </c>
      <c r="B101" s="846">
        <f t="shared" si="29"/>
        <v>1347</v>
      </c>
      <c r="C101" s="846">
        <f t="shared" si="30"/>
        <v>150</v>
      </c>
      <c r="D101" s="846">
        <f t="shared" si="34"/>
        <v>1497</v>
      </c>
      <c r="E101" s="846">
        <f t="shared" si="31"/>
        <v>406</v>
      </c>
      <c r="F101" s="846">
        <f t="shared" si="32"/>
        <v>73</v>
      </c>
      <c r="G101" s="846">
        <f t="shared" si="35"/>
        <v>479</v>
      </c>
      <c r="H101" s="846">
        <f t="shared" si="33"/>
        <v>39</v>
      </c>
      <c r="I101" s="846">
        <f t="shared" si="33"/>
        <v>5</v>
      </c>
      <c r="J101" s="846">
        <f t="shared" si="36"/>
        <v>44</v>
      </c>
      <c r="K101" s="846">
        <f t="shared" si="37"/>
        <v>1792</v>
      </c>
      <c r="L101" s="846">
        <f t="shared" si="38"/>
        <v>228</v>
      </c>
      <c r="M101" s="858">
        <f t="shared" si="39"/>
        <v>2020</v>
      </c>
      <c r="N101" s="843"/>
      <c r="O101" s="843"/>
      <c r="P101" s="843"/>
      <c r="Q101" s="843"/>
      <c r="R101" s="843"/>
      <c r="S101" s="843"/>
      <c r="T101" s="843"/>
      <c r="U101" s="843"/>
      <c r="V101" s="843"/>
      <c r="W101" s="843"/>
      <c r="X101" s="843"/>
    </row>
    <row r="102" spans="1:24" s="690" customFormat="1" ht="26.25" customHeight="1">
      <c r="A102" s="850" t="s">
        <v>243</v>
      </c>
      <c r="B102" s="845">
        <f t="shared" si="29"/>
        <v>1302</v>
      </c>
      <c r="C102" s="845">
        <f t="shared" si="30"/>
        <v>139</v>
      </c>
      <c r="D102" s="845">
        <f t="shared" si="34"/>
        <v>1441</v>
      </c>
      <c r="E102" s="845">
        <f t="shared" si="31"/>
        <v>432</v>
      </c>
      <c r="F102" s="845">
        <f t="shared" si="32"/>
        <v>82</v>
      </c>
      <c r="G102" s="845">
        <f t="shared" si="35"/>
        <v>514</v>
      </c>
      <c r="H102" s="845">
        <f t="shared" si="33"/>
        <v>41</v>
      </c>
      <c r="I102" s="845">
        <f t="shared" si="33"/>
        <v>5</v>
      </c>
      <c r="J102" s="845">
        <f t="shared" si="36"/>
        <v>46</v>
      </c>
      <c r="K102" s="845">
        <f t="shared" si="37"/>
        <v>1775</v>
      </c>
      <c r="L102" s="845">
        <f t="shared" si="38"/>
        <v>226</v>
      </c>
      <c r="M102" s="857">
        <f t="shared" si="39"/>
        <v>2001</v>
      </c>
      <c r="N102" s="843"/>
      <c r="O102" s="843"/>
      <c r="P102" s="843"/>
      <c r="Q102" s="843"/>
      <c r="R102" s="843"/>
      <c r="S102" s="843"/>
      <c r="T102" s="843"/>
      <c r="U102" s="843"/>
      <c r="V102" s="843"/>
      <c r="W102" s="843"/>
      <c r="X102" s="843"/>
    </row>
    <row r="103" spans="1:24" s="690" customFormat="1" ht="26.25" customHeight="1">
      <c r="A103" s="851" t="s">
        <v>54</v>
      </c>
      <c r="B103" s="846">
        <f t="shared" si="29"/>
        <v>1264</v>
      </c>
      <c r="C103" s="846">
        <f t="shared" si="30"/>
        <v>135</v>
      </c>
      <c r="D103" s="846">
        <f t="shared" si="34"/>
        <v>1399</v>
      </c>
      <c r="E103" s="846">
        <f t="shared" si="31"/>
        <v>453</v>
      </c>
      <c r="F103" s="846">
        <f t="shared" si="32"/>
        <v>86</v>
      </c>
      <c r="G103" s="846">
        <f t="shared" si="35"/>
        <v>539</v>
      </c>
      <c r="H103" s="846">
        <f t="shared" si="33"/>
        <v>42</v>
      </c>
      <c r="I103" s="846">
        <f t="shared" si="33"/>
        <v>5</v>
      </c>
      <c r="J103" s="846">
        <f t="shared" si="36"/>
        <v>47</v>
      </c>
      <c r="K103" s="846">
        <f t="shared" si="37"/>
        <v>1759</v>
      </c>
      <c r="L103" s="846">
        <f t="shared" si="38"/>
        <v>226</v>
      </c>
      <c r="M103" s="858">
        <f t="shared" si="39"/>
        <v>1985</v>
      </c>
      <c r="N103" s="843"/>
      <c r="O103" s="843"/>
      <c r="P103" s="843"/>
      <c r="Q103" s="843"/>
      <c r="R103" s="843"/>
      <c r="S103" s="843"/>
      <c r="T103" s="843"/>
      <c r="U103" s="843"/>
      <c r="V103" s="843"/>
      <c r="W103" s="843"/>
      <c r="X103" s="843"/>
    </row>
    <row r="104" spans="1:24" s="690" customFormat="1" ht="26.25" customHeight="1">
      <c r="A104" s="850" t="s">
        <v>56</v>
      </c>
      <c r="B104" s="845">
        <f t="shared" si="29"/>
        <v>1219</v>
      </c>
      <c r="C104" s="845">
        <f t="shared" si="30"/>
        <v>131</v>
      </c>
      <c r="D104" s="845">
        <f t="shared" si="34"/>
        <v>1350</v>
      </c>
      <c r="E104" s="845">
        <f t="shared" si="31"/>
        <v>464</v>
      </c>
      <c r="F104" s="845">
        <f t="shared" si="32"/>
        <v>89</v>
      </c>
      <c r="G104" s="845">
        <f t="shared" si="35"/>
        <v>553</v>
      </c>
      <c r="H104" s="845">
        <f t="shared" si="33"/>
        <v>41</v>
      </c>
      <c r="I104" s="845">
        <f t="shared" si="33"/>
        <v>6</v>
      </c>
      <c r="J104" s="845">
        <f t="shared" si="36"/>
        <v>47</v>
      </c>
      <c r="K104" s="845">
        <f t="shared" si="37"/>
        <v>1724</v>
      </c>
      <c r="L104" s="845">
        <f t="shared" si="38"/>
        <v>226</v>
      </c>
      <c r="M104" s="857">
        <f t="shared" si="39"/>
        <v>1950</v>
      </c>
      <c r="N104" s="843"/>
      <c r="O104" s="843"/>
      <c r="P104" s="843"/>
      <c r="Q104" s="843"/>
      <c r="R104" s="843"/>
      <c r="S104" s="843"/>
      <c r="T104" s="843"/>
      <c r="U104" s="843"/>
      <c r="V104" s="843"/>
      <c r="W104" s="843"/>
      <c r="X104" s="843"/>
    </row>
    <row r="105" spans="1:24" s="690" customFormat="1" ht="26.25" customHeight="1">
      <c r="A105" s="851" t="s">
        <v>68</v>
      </c>
      <c r="B105" s="846">
        <f t="shared" si="29"/>
        <v>1182</v>
      </c>
      <c r="C105" s="846">
        <f t="shared" si="30"/>
        <v>125</v>
      </c>
      <c r="D105" s="846">
        <f t="shared" si="34"/>
        <v>1307</v>
      </c>
      <c r="E105" s="846">
        <f t="shared" si="31"/>
        <v>487</v>
      </c>
      <c r="F105" s="846">
        <f t="shared" si="32"/>
        <v>93</v>
      </c>
      <c r="G105" s="846">
        <f t="shared" si="35"/>
        <v>580</v>
      </c>
      <c r="H105" s="846">
        <f t="shared" si="33"/>
        <v>46</v>
      </c>
      <c r="I105" s="846">
        <f t="shared" si="33"/>
        <v>5</v>
      </c>
      <c r="J105" s="846">
        <f t="shared" si="36"/>
        <v>51</v>
      </c>
      <c r="K105" s="846">
        <f t="shared" si="37"/>
        <v>1715</v>
      </c>
      <c r="L105" s="846">
        <f t="shared" si="38"/>
        <v>223</v>
      </c>
      <c r="M105" s="858">
        <f t="shared" si="39"/>
        <v>1938</v>
      </c>
      <c r="N105" s="843"/>
      <c r="O105" s="843"/>
      <c r="P105" s="843"/>
      <c r="Q105" s="843"/>
      <c r="R105" s="843"/>
      <c r="S105" s="843"/>
      <c r="T105" s="843"/>
      <c r="U105" s="843"/>
      <c r="V105" s="843"/>
      <c r="W105" s="843"/>
      <c r="X105" s="843"/>
    </row>
    <row r="106" spans="1:24" s="690" customFormat="1" ht="26.25" customHeight="1">
      <c r="A106" s="850" t="s">
        <v>69</v>
      </c>
      <c r="B106" s="845">
        <f t="shared" si="29"/>
        <v>1161</v>
      </c>
      <c r="C106" s="845">
        <f t="shared" si="30"/>
        <v>121</v>
      </c>
      <c r="D106" s="845">
        <f t="shared" si="34"/>
        <v>1282</v>
      </c>
      <c r="E106" s="845">
        <f t="shared" si="31"/>
        <v>509</v>
      </c>
      <c r="F106" s="845">
        <f t="shared" si="32"/>
        <v>96</v>
      </c>
      <c r="G106" s="845">
        <f t="shared" si="35"/>
        <v>605</v>
      </c>
      <c r="H106" s="845">
        <f t="shared" si="33"/>
        <v>45</v>
      </c>
      <c r="I106" s="845">
        <f t="shared" si="33"/>
        <v>4</v>
      </c>
      <c r="J106" s="845">
        <f t="shared" si="36"/>
        <v>49</v>
      </c>
      <c r="K106" s="845">
        <f t="shared" si="37"/>
        <v>1715</v>
      </c>
      <c r="L106" s="845">
        <f t="shared" si="38"/>
        <v>221</v>
      </c>
      <c r="M106" s="857">
        <f t="shared" si="39"/>
        <v>1936</v>
      </c>
      <c r="N106" s="843"/>
      <c r="O106" s="843"/>
      <c r="P106" s="843"/>
      <c r="Q106" s="843"/>
      <c r="R106" s="843"/>
      <c r="S106" s="843"/>
      <c r="T106" s="843"/>
      <c r="U106" s="843"/>
      <c r="V106" s="843"/>
      <c r="W106" s="843"/>
      <c r="X106" s="843"/>
    </row>
    <row r="107" spans="1:24" s="690" customFormat="1" ht="26.25" customHeight="1">
      <c r="A107" s="851" t="s">
        <v>248</v>
      </c>
      <c r="B107" s="846">
        <f t="shared" si="29"/>
        <v>1132</v>
      </c>
      <c r="C107" s="846">
        <f t="shared" si="30"/>
        <v>124</v>
      </c>
      <c r="D107" s="846">
        <f t="shared" si="34"/>
        <v>1256</v>
      </c>
      <c r="E107" s="846">
        <f t="shared" si="31"/>
        <v>528</v>
      </c>
      <c r="F107" s="846">
        <f t="shared" si="32"/>
        <v>100</v>
      </c>
      <c r="G107" s="846">
        <f t="shared" si="35"/>
        <v>628</v>
      </c>
      <c r="H107" s="846">
        <f t="shared" si="33"/>
        <v>45</v>
      </c>
      <c r="I107" s="846">
        <f t="shared" si="33"/>
        <v>6</v>
      </c>
      <c r="J107" s="846">
        <f t="shared" si="36"/>
        <v>51</v>
      </c>
      <c r="K107" s="846">
        <f t="shared" si="37"/>
        <v>1705</v>
      </c>
      <c r="L107" s="846">
        <f t="shared" si="38"/>
        <v>230</v>
      </c>
      <c r="M107" s="858">
        <f t="shared" si="39"/>
        <v>1935</v>
      </c>
      <c r="N107" s="843"/>
      <c r="O107" s="843"/>
      <c r="P107" s="843"/>
      <c r="Q107" s="843"/>
      <c r="R107" s="843"/>
      <c r="S107" s="843"/>
      <c r="T107" s="843"/>
      <c r="U107" s="843"/>
      <c r="V107" s="843"/>
      <c r="W107" s="843"/>
      <c r="X107" s="843"/>
    </row>
    <row r="108" spans="1:24" s="690" customFormat="1" ht="26.25" customHeight="1">
      <c r="A108" s="850" t="s">
        <v>244</v>
      </c>
      <c r="B108" s="845">
        <f t="shared" si="29"/>
        <v>1113</v>
      </c>
      <c r="C108" s="845">
        <f t="shared" si="30"/>
        <v>121</v>
      </c>
      <c r="D108" s="845">
        <f t="shared" si="34"/>
        <v>1234</v>
      </c>
      <c r="E108" s="845">
        <f t="shared" si="31"/>
        <v>554</v>
      </c>
      <c r="F108" s="845">
        <f t="shared" si="32"/>
        <v>110</v>
      </c>
      <c r="G108" s="845">
        <f t="shared" si="35"/>
        <v>664</v>
      </c>
      <c r="H108" s="845">
        <f t="shared" si="33"/>
        <v>46</v>
      </c>
      <c r="I108" s="845">
        <f t="shared" si="33"/>
        <v>6</v>
      </c>
      <c r="J108" s="845">
        <f t="shared" si="36"/>
        <v>52</v>
      </c>
      <c r="K108" s="845">
        <f t="shared" si="37"/>
        <v>1713</v>
      </c>
      <c r="L108" s="845">
        <f t="shared" si="38"/>
        <v>237</v>
      </c>
      <c r="M108" s="857">
        <f t="shared" si="39"/>
        <v>1950</v>
      </c>
      <c r="N108" s="843"/>
      <c r="O108" s="843"/>
      <c r="P108" s="843"/>
      <c r="Q108" s="843"/>
      <c r="R108" s="843"/>
      <c r="S108" s="843"/>
      <c r="T108" s="843"/>
      <c r="U108" s="843"/>
      <c r="V108" s="843"/>
      <c r="W108" s="843"/>
      <c r="X108" s="843"/>
    </row>
    <row r="109" spans="1:24" s="690" customFormat="1" ht="26.25" customHeight="1">
      <c r="A109" s="852" t="s">
        <v>249</v>
      </c>
      <c r="B109" s="849">
        <f t="shared" si="29"/>
        <v>1119</v>
      </c>
      <c r="C109" s="849">
        <f t="shared" si="30"/>
        <v>134</v>
      </c>
      <c r="D109" s="849">
        <f t="shared" si="34"/>
        <v>1253</v>
      </c>
      <c r="E109" s="849">
        <f t="shared" si="31"/>
        <v>585</v>
      </c>
      <c r="F109" s="849">
        <f t="shared" si="32"/>
        <v>111</v>
      </c>
      <c r="G109" s="849">
        <f t="shared" si="35"/>
        <v>696</v>
      </c>
      <c r="H109" s="849">
        <f t="shared" si="33"/>
        <v>45</v>
      </c>
      <c r="I109" s="849">
        <f t="shared" si="33"/>
        <v>6</v>
      </c>
      <c r="J109" s="849">
        <f t="shared" si="36"/>
        <v>51</v>
      </c>
      <c r="K109" s="849">
        <f t="shared" si="37"/>
        <v>1749</v>
      </c>
      <c r="L109" s="849">
        <f t="shared" si="38"/>
        <v>251</v>
      </c>
      <c r="M109" s="854">
        <f t="shared" si="39"/>
        <v>2000</v>
      </c>
      <c r="N109" s="843"/>
      <c r="O109" s="843"/>
      <c r="P109" s="843"/>
      <c r="Q109" s="843"/>
      <c r="R109" s="843"/>
      <c r="S109" s="843"/>
      <c r="T109" s="843"/>
      <c r="U109" s="843"/>
      <c r="V109" s="843"/>
      <c r="W109" s="843"/>
      <c r="X109" s="843"/>
    </row>
    <row r="110" spans="1:24" s="690" customFormat="1" ht="26.25" customHeight="1">
      <c r="A110" s="853" t="s">
        <v>618</v>
      </c>
      <c r="B110" s="847">
        <f t="shared" ref="B110:M110" si="40">AVERAGE(B98:B109)</f>
        <v>1244.9166666666667</v>
      </c>
      <c r="C110" s="847">
        <f t="shared" si="40"/>
        <v>138.08333333333334</v>
      </c>
      <c r="D110" s="847">
        <f t="shared" si="40"/>
        <v>1383</v>
      </c>
      <c r="E110" s="847">
        <f t="shared" si="40"/>
        <v>464.41666666666669</v>
      </c>
      <c r="F110" s="847">
        <f t="shared" si="40"/>
        <v>88.166666666666671</v>
      </c>
      <c r="G110" s="847">
        <f t="shared" si="40"/>
        <v>552.58333333333337</v>
      </c>
      <c r="H110" s="847">
        <f t="shared" si="40"/>
        <v>42</v>
      </c>
      <c r="I110" s="847">
        <f t="shared" si="40"/>
        <v>5</v>
      </c>
      <c r="J110" s="855">
        <f t="shared" si="40"/>
        <v>47</v>
      </c>
      <c r="K110" s="847">
        <f t="shared" si="40"/>
        <v>1751.3333333333333</v>
      </c>
      <c r="L110" s="847">
        <f t="shared" si="40"/>
        <v>231.25</v>
      </c>
      <c r="M110" s="855">
        <f t="shared" si="40"/>
        <v>1982.5833333333333</v>
      </c>
      <c r="N110" s="843"/>
      <c r="O110" s="843"/>
      <c r="P110" s="843"/>
      <c r="Q110" s="843"/>
      <c r="R110" s="843"/>
      <c r="S110" s="843"/>
      <c r="T110" s="843"/>
      <c r="U110" s="843"/>
      <c r="V110" s="843"/>
      <c r="W110" s="843"/>
      <c r="X110" s="843"/>
    </row>
    <row r="111" spans="1:24" s="690" customFormat="1" ht="26.25" customHeight="1">
      <c r="A111" s="2050" t="s">
        <v>28</v>
      </c>
      <c r="B111" s="848">
        <f>+B110/D110</f>
        <v>0.90015666425644736</v>
      </c>
      <c r="C111" s="848">
        <f>+C110/D110</f>
        <v>9.9843335743552669E-2</v>
      </c>
      <c r="D111" s="848">
        <f>SUM(B111:C111)</f>
        <v>1</v>
      </c>
      <c r="E111" s="848">
        <f>+E110/G110</f>
        <v>0.84044638817674555</v>
      </c>
      <c r="F111" s="848">
        <f>+F110/G110</f>
        <v>0.15955361182325442</v>
      </c>
      <c r="G111" s="848">
        <f>SUM(E111:F111)</f>
        <v>1</v>
      </c>
      <c r="H111" s="848">
        <f>+H110/J110</f>
        <v>0.8936170212765957</v>
      </c>
      <c r="I111" s="848">
        <f>+I110/J110</f>
        <v>0.10638297872340426</v>
      </c>
      <c r="J111" s="859">
        <f>SUM(H111:I111)</f>
        <v>1</v>
      </c>
      <c r="K111" s="848">
        <f>+K110/M110</f>
        <v>0.8833592534992224</v>
      </c>
      <c r="L111" s="848">
        <f>+L110/M110</f>
        <v>0.1166407465007776</v>
      </c>
      <c r="M111" s="859">
        <f>SUM(K111:L111)</f>
        <v>1</v>
      </c>
      <c r="N111" s="836"/>
      <c r="O111" s="836"/>
      <c r="P111" s="836"/>
      <c r="Q111" s="836"/>
      <c r="R111" s="836"/>
      <c r="S111" s="836"/>
      <c r="T111" s="836"/>
      <c r="U111" s="836"/>
      <c r="V111" s="836"/>
      <c r="W111" s="836"/>
      <c r="X111" s="836"/>
    </row>
    <row r="112" spans="1:24" s="690" customFormat="1" ht="26.25" customHeight="1" thickBot="1">
      <c r="A112" s="2049"/>
      <c r="B112" s="2040">
        <f>+D110/H110</f>
        <v>32.928571428571431</v>
      </c>
      <c r="C112" s="2041"/>
      <c r="D112" s="2042"/>
      <c r="E112" s="2040">
        <f>+G110/H110</f>
        <v>13.156746031746033</v>
      </c>
      <c r="F112" s="2041"/>
      <c r="G112" s="2042"/>
      <c r="H112" s="2040">
        <f>SUM(B112:G112)</f>
        <v>46.085317460317462</v>
      </c>
      <c r="I112" s="2041"/>
      <c r="J112" s="2043"/>
      <c r="K112" s="2040">
        <f>SUM(E112:J112)</f>
        <v>59.242063492063494</v>
      </c>
      <c r="L112" s="2041"/>
      <c r="M112" s="2043"/>
      <c r="N112" s="836"/>
      <c r="O112" s="836"/>
      <c r="P112" s="836"/>
      <c r="Q112" s="836"/>
      <c r="R112" s="836"/>
      <c r="S112" s="836"/>
      <c r="T112" s="836"/>
      <c r="U112" s="836"/>
      <c r="V112" s="836"/>
      <c r="W112" s="836"/>
      <c r="X112" s="836"/>
    </row>
    <row r="115" spans="1:24">
      <c r="A115" s="2047" t="s">
        <v>621</v>
      </c>
      <c r="B115" s="2047"/>
      <c r="C115" s="2047"/>
      <c r="D115" s="2047"/>
      <c r="E115" s="2047"/>
      <c r="F115" s="2047"/>
      <c r="G115" s="2047"/>
      <c r="H115" s="2047"/>
      <c r="I115" s="2047"/>
      <c r="J115" s="2047"/>
      <c r="K115" s="2047"/>
      <c r="L115" s="2047"/>
      <c r="M115" s="2047"/>
      <c r="N115" s="2047"/>
    </row>
    <row r="116" spans="1:24" ht="26.25" thickBot="1"/>
    <row r="117" spans="1:24" ht="34.5" customHeight="1">
      <c r="A117" s="612" t="s">
        <v>314</v>
      </c>
      <c r="B117" s="613" t="s">
        <v>252</v>
      </c>
      <c r="C117" s="613" t="s">
        <v>253</v>
      </c>
      <c r="D117" s="613" t="s">
        <v>254</v>
      </c>
      <c r="E117" s="613" t="s">
        <v>255</v>
      </c>
      <c r="F117" s="613" t="s">
        <v>256</v>
      </c>
      <c r="G117" s="613" t="s">
        <v>257</v>
      </c>
      <c r="H117" s="613" t="s">
        <v>258</v>
      </c>
      <c r="I117" s="613" t="s">
        <v>259</v>
      </c>
      <c r="J117" s="613" t="s">
        <v>260</v>
      </c>
      <c r="K117" s="613" t="s">
        <v>261</v>
      </c>
      <c r="L117" s="613" t="s">
        <v>240</v>
      </c>
      <c r="M117" s="613" t="s">
        <v>241</v>
      </c>
      <c r="N117" s="614" t="s">
        <v>405</v>
      </c>
    </row>
    <row r="118" spans="1:24" ht="31.5" customHeight="1">
      <c r="A118" s="615" t="s">
        <v>8</v>
      </c>
      <c r="B118" s="616">
        <f>+$D14+$D35+$D56</f>
        <v>1120</v>
      </c>
      <c r="C118" s="616">
        <f>+$D15+$D36+$D57</f>
        <v>1139</v>
      </c>
      <c r="D118" s="616">
        <f>+$D16+$D37+$D58</f>
        <v>1110</v>
      </c>
      <c r="E118" s="616">
        <f>+$D17+$D38+$D59</f>
        <v>1092</v>
      </c>
      <c r="F118" s="616">
        <f>+$D18+$D39+$D60</f>
        <v>1073</v>
      </c>
      <c r="G118" s="616">
        <f>+$D19+$D40+$D61</f>
        <v>1047</v>
      </c>
      <c r="H118" s="616">
        <f>+$D20+$D41+$D62</f>
        <v>1007</v>
      </c>
      <c r="I118" s="616">
        <f>+$D21+$D42+$D63</f>
        <v>985</v>
      </c>
      <c r="J118" s="616">
        <f>+$D22+$D43+$D64</f>
        <v>982</v>
      </c>
      <c r="K118" s="616">
        <f>+$D23+$D44+$D65</f>
        <v>985</v>
      </c>
      <c r="L118" s="616">
        <f>+$D24+$D45+$D66</f>
        <v>988</v>
      </c>
      <c r="M118" s="616">
        <f>+$D25+$D46+$D67</f>
        <v>1014</v>
      </c>
      <c r="N118" s="860">
        <f>AVERAGE(B118:M118)</f>
        <v>1045.1666666666667</v>
      </c>
      <c r="O118" s="835"/>
    </row>
    <row r="119" spans="1:24" ht="31.5" customHeight="1">
      <c r="A119" s="617" t="s">
        <v>9</v>
      </c>
      <c r="B119" s="618">
        <f>+$G14+$G35+G$56</f>
        <v>867</v>
      </c>
      <c r="C119" s="618">
        <f>+$G15+$G36+G$57</f>
        <v>906</v>
      </c>
      <c r="D119" s="618">
        <f>+$G16+$G37+G$58</f>
        <v>934</v>
      </c>
      <c r="E119" s="618">
        <f>+$G17+$G38+G59</f>
        <v>928</v>
      </c>
      <c r="F119" s="618">
        <f>+$G18+$G39+$G60</f>
        <v>928</v>
      </c>
      <c r="G119" s="618">
        <f>+$G19+$G40+$G61</f>
        <v>938</v>
      </c>
      <c r="H119" s="618">
        <f>+$G20+$G41+$G62</f>
        <v>943</v>
      </c>
      <c r="I119" s="618">
        <f>+$G21+$G42+$G63</f>
        <v>953</v>
      </c>
      <c r="J119" s="618">
        <f>+$G22+$G43+$G64</f>
        <v>954</v>
      </c>
      <c r="K119" s="618">
        <f>+$G23+$G44+$G65</f>
        <v>950</v>
      </c>
      <c r="L119" s="618">
        <f>+$G24+$G45+$G66</f>
        <v>962</v>
      </c>
      <c r="M119" s="618">
        <f>+$G25+$G46+$G67</f>
        <v>986</v>
      </c>
      <c r="N119" s="861">
        <f>AVERAGE(B119:M119)</f>
        <v>937.41666666666663</v>
      </c>
    </row>
    <row r="120" spans="1:24" ht="34.5" customHeight="1" thickBot="1">
      <c r="A120" s="619" t="s">
        <v>6</v>
      </c>
      <c r="B120" s="620">
        <f t="shared" ref="B120:H120" si="41">SUM(B118:B119)</f>
        <v>1987</v>
      </c>
      <c r="C120" s="620">
        <f t="shared" si="41"/>
        <v>2045</v>
      </c>
      <c r="D120" s="620">
        <f t="shared" si="41"/>
        <v>2044</v>
      </c>
      <c r="E120" s="620">
        <f t="shared" si="41"/>
        <v>2020</v>
      </c>
      <c r="F120" s="620">
        <f t="shared" si="41"/>
        <v>2001</v>
      </c>
      <c r="G120" s="620">
        <f t="shared" si="41"/>
        <v>1985</v>
      </c>
      <c r="H120" s="620">
        <f t="shared" si="41"/>
        <v>1950</v>
      </c>
      <c r="I120" s="620">
        <f>SUM(I118:I119)</f>
        <v>1938</v>
      </c>
      <c r="J120" s="620">
        <f>SUM(J118:J119)</f>
        <v>1936</v>
      </c>
      <c r="K120" s="620">
        <f>SUM(K118:K119)</f>
        <v>1935</v>
      </c>
      <c r="L120" s="620">
        <f>SUM(L118:L119)</f>
        <v>1950</v>
      </c>
      <c r="M120" s="620">
        <f>SUM(M118:M119)</f>
        <v>2000</v>
      </c>
      <c r="N120" s="862">
        <f>AVERAGE(B120:M120)</f>
        <v>1982.5833333333333</v>
      </c>
    </row>
    <row r="122" spans="1:24">
      <c r="B122" s="2047" t="s">
        <v>642</v>
      </c>
      <c r="C122" s="2047"/>
      <c r="D122" s="2047"/>
      <c r="E122" s="2047"/>
      <c r="F122" s="2047"/>
      <c r="G122" s="2047"/>
      <c r="H122" s="2047"/>
    </row>
    <row r="123" spans="1:24" s="843" customFormat="1" ht="15.75" thickBot="1"/>
    <row r="124" spans="1:24" s="690" customFormat="1" ht="35.25" customHeight="1" thickBot="1">
      <c r="A124" s="865" t="s">
        <v>643</v>
      </c>
      <c r="B124" s="866" t="s">
        <v>252</v>
      </c>
      <c r="C124" s="866" t="s">
        <v>253</v>
      </c>
      <c r="D124" s="866" t="s">
        <v>254</v>
      </c>
      <c r="E124" s="866" t="s">
        <v>255</v>
      </c>
      <c r="F124" s="866" t="s">
        <v>256</v>
      </c>
      <c r="G124" s="866" t="s">
        <v>257</v>
      </c>
      <c r="H124" s="866" t="s">
        <v>258</v>
      </c>
      <c r="I124" s="866" t="s">
        <v>259</v>
      </c>
      <c r="J124" s="866" t="s">
        <v>260</v>
      </c>
      <c r="K124" s="866" t="s">
        <v>261</v>
      </c>
      <c r="L124" s="866" t="s">
        <v>240</v>
      </c>
      <c r="M124" s="866" t="s">
        <v>241</v>
      </c>
      <c r="N124" s="867" t="s">
        <v>641</v>
      </c>
      <c r="O124" s="836"/>
      <c r="P124" s="836"/>
      <c r="Q124" s="836"/>
      <c r="R124" s="836"/>
      <c r="S124" s="836"/>
      <c r="T124" s="836"/>
      <c r="U124" s="836"/>
      <c r="V124" s="836"/>
      <c r="W124" s="836"/>
      <c r="X124" s="836"/>
    </row>
    <row r="125" spans="1:24" s="690" customFormat="1" ht="26.25" customHeight="1">
      <c r="A125" s="868" t="s">
        <v>626</v>
      </c>
      <c r="B125" s="845">
        <v>1443</v>
      </c>
      <c r="C125" s="845">
        <v>1501</v>
      </c>
      <c r="D125" s="845">
        <v>1508</v>
      </c>
      <c r="E125" s="845">
        <v>1496</v>
      </c>
      <c r="F125" s="845">
        <v>1487</v>
      </c>
      <c r="G125" s="845">
        <v>1476</v>
      </c>
      <c r="H125" s="845">
        <v>1456</v>
      </c>
      <c r="I125" s="845">
        <v>1452</v>
      </c>
      <c r="J125" s="864">
        <v>1460</v>
      </c>
      <c r="K125" s="864">
        <v>1467</v>
      </c>
      <c r="L125" s="845">
        <v>1495</v>
      </c>
      <c r="M125" s="864">
        <v>1543</v>
      </c>
      <c r="N125" s="874">
        <f>AVERAGE(B125:M125)</f>
        <v>1482</v>
      </c>
      <c r="O125" s="843"/>
      <c r="P125" s="843"/>
      <c r="Q125" s="843"/>
      <c r="R125" s="843"/>
      <c r="S125" s="843"/>
      <c r="T125" s="843"/>
      <c r="U125" s="843"/>
      <c r="V125" s="843"/>
      <c r="W125" s="843"/>
      <c r="X125" s="843"/>
    </row>
    <row r="126" spans="1:24" s="690" customFormat="1" ht="26.25" customHeight="1">
      <c r="A126" s="870" t="s">
        <v>627</v>
      </c>
      <c r="B126" s="846">
        <v>155</v>
      </c>
      <c r="C126" s="846">
        <v>152</v>
      </c>
      <c r="D126" s="846">
        <v>148</v>
      </c>
      <c r="E126" s="846">
        <v>144</v>
      </c>
      <c r="F126" s="846">
        <v>139</v>
      </c>
      <c r="G126" s="846">
        <v>138</v>
      </c>
      <c r="H126" s="846">
        <v>129</v>
      </c>
      <c r="I126" s="846">
        <v>126</v>
      </c>
      <c r="J126" s="846">
        <v>125</v>
      </c>
      <c r="K126" s="846">
        <v>122</v>
      </c>
      <c r="L126" s="846">
        <v>116</v>
      </c>
      <c r="M126" s="846">
        <v>116</v>
      </c>
      <c r="N126" s="871">
        <f t="shared" ref="N126:N139" si="42">AVERAGE(B126:M126)</f>
        <v>134.16666666666666</v>
      </c>
      <c r="O126" s="843"/>
      <c r="P126" s="843"/>
      <c r="Q126" s="843"/>
      <c r="R126" s="843"/>
      <c r="S126" s="843"/>
      <c r="T126" s="843"/>
      <c r="U126" s="843"/>
      <c r="V126" s="843"/>
      <c r="W126" s="843"/>
      <c r="X126" s="843"/>
    </row>
    <row r="127" spans="1:24" s="690" customFormat="1" ht="26.25" customHeight="1">
      <c r="A127" s="868" t="s">
        <v>628</v>
      </c>
      <c r="B127" s="845">
        <v>67</v>
      </c>
      <c r="C127" s="845">
        <v>69</v>
      </c>
      <c r="D127" s="845">
        <v>65</v>
      </c>
      <c r="E127" s="845">
        <v>64</v>
      </c>
      <c r="F127" s="845">
        <v>63</v>
      </c>
      <c r="G127" s="845">
        <v>61</v>
      </c>
      <c r="H127" s="845">
        <v>60</v>
      </c>
      <c r="I127" s="845">
        <v>60</v>
      </c>
      <c r="J127" s="845">
        <v>58</v>
      </c>
      <c r="K127" s="845">
        <v>58</v>
      </c>
      <c r="L127" s="845">
        <v>57</v>
      </c>
      <c r="M127" s="845">
        <v>53</v>
      </c>
      <c r="N127" s="869">
        <f t="shared" si="42"/>
        <v>61.25</v>
      </c>
      <c r="O127" s="843"/>
      <c r="P127" s="843"/>
      <c r="Q127" s="843"/>
      <c r="R127" s="843"/>
      <c r="S127" s="843"/>
      <c r="T127" s="843"/>
      <c r="U127" s="843"/>
      <c r="V127" s="843"/>
      <c r="W127" s="843"/>
      <c r="X127" s="843"/>
    </row>
    <row r="128" spans="1:24" s="690" customFormat="1" ht="26.25" customHeight="1">
      <c r="A128" s="870" t="s">
        <v>629</v>
      </c>
      <c r="B128" s="846">
        <v>35</v>
      </c>
      <c r="C128" s="846">
        <v>35</v>
      </c>
      <c r="D128" s="846">
        <v>34</v>
      </c>
      <c r="E128" s="846">
        <v>33</v>
      </c>
      <c r="F128" s="846">
        <v>32</v>
      </c>
      <c r="G128" s="846">
        <v>32</v>
      </c>
      <c r="H128" s="846">
        <v>32</v>
      </c>
      <c r="I128" s="846">
        <v>31</v>
      </c>
      <c r="J128" s="846">
        <v>30</v>
      </c>
      <c r="K128" s="846">
        <v>28</v>
      </c>
      <c r="L128" s="846">
        <v>28</v>
      </c>
      <c r="M128" s="846">
        <v>28</v>
      </c>
      <c r="N128" s="871">
        <f t="shared" si="42"/>
        <v>31.5</v>
      </c>
      <c r="O128" s="843"/>
      <c r="P128" s="843"/>
      <c r="Q128" s="843"/>
      <c r="R128" s="843"/>
      <c r="S128" s="843"/>
      <c r="T128" s="843"/>
      <c r="U128" s="843"/>
      <c r="V128" s="843"/>
      <c r="W128" s="843"/>
      <c r="X128" s="843"/>
    </row>
    <row r="129" spans="1:24" s="690" customFormat="1" ht="26.25" customHeight="1">
      <c r="A129" s="868" t="s">
        <v>630</v>
      </c>
      <c r="B129" s="845">
        <v>31</v>
      </c>
      <c r="C129" s="845">
        <v>31</v>
      </c>
      <c r="D129" s="845">
        <v>29</v>
      </c>
      <c r="E129" s="845">
        <v>28</v>
      </c>
      <c r="F129" s="845">
        <v>28</v>
      </c>
      <c r="G129" s="845">
        <v>28</v>
      </c>
      <c r="H129" s="845">
        <v>27</v>
      </c>
      <c r="I129" s="845">
        <v>27</v>
      </c>
      <c r="J129" s="845">
        <v>27</v>
      </c>
      <c r="K129" s="845">
        <v>27</v>
      </c>
      <c r="L129" s="845">
        <v>26</v>
      </c>
      <c r="M129" s="845">
        <v>24</v>
      </c>
      <c r="N129" s="869">
        <f t="shared" si="42"/>
        <v>27.75</v>
      </c>
      <c r="O129" s="843"/>
      <c r="P129" s="843"/>
      <c r="Q129" s="843"/>
      <c r="R129" s="843"/>
      <c r="S129" s="843"/>
      <c r="T129" s="843"/>
      <c r="U129" s="843"/>
      <c r="V129" s="843"/>
      <c r="W129" s="843"/>
      <c r="X129" s="843"/>
    </row>
    <row r="130" spans="1:24" s="690" customFormat="1" ht="26.25" customHeight="1">
      <c r="A130" s="870" t="s">
        <v>631</v>
      </c>
      <c r="B130" s="846">
        <v>27</v>
      </c>
      <c r="C130" s="846">
        <v>26</v>
      </c>
      <c r="D130" s="846">
        <v>26</v>
      </c>
      <c r="E130" s="846">
        <v>25</v>
      </c>
      <c r="F130" s="846">
        <v>25</v>
      </c>
      <c r="G130" s="846">
        <v>23</v>
      </c>
      <c r="H130" s="846">
        <v>23</v>
      </c>
      <c r="I130" s="846">
        <v>23</v>
      </c>
      <c r="J130" s="846">
        <v>23</v>
      </c>
      <c r="K130" s="846">
        <v>23</v>
      </c>
      <c r="L130" s="846">
        <v>21</v>
      </c>
      <c r="M130" s="846">
        <v>26</v>
      </c>
      <c r="N130" s="871">
        <f t="shared" si="42"/>
        <v>24.25</v>
      </c>
      <c r="O130" s="843"/>
      <c r="P130" s="843"/>
      <c r="Q130" s="843"/>
      <c r="R130" s="843"/>
      <c r="S130" s="843"/>
      <c r="T130" s="843"/>
      <c r="U130" s="843"/>
      <c r="V130" s="843"/>
      <c r="W130" s="843"/>
      <c r="X130" s="843"/>
    </row>
    <row r="131" spans="1:24" s="690" customFormat="1" ht="26.25" customHeight="1">
      <c r="A131" s="868" t="s">
        <v>632</v>
      </c>
      <c r="B131" s="845">
        <v>26</v>
      </c>
      <c r="C131" s="845">
        <v>24</v>
      </c>
      <c r="D131" s="845">
        <v>24</v>
      </c>
      <c r="E131" s="845">
        <v>24</v>
      </c>
      <c r="F131" s="845">
        <v>24</v>
      </c>
      <c r="G131" s="845">
        <v>24</v>
      </c>
      <c r="H131" s="845">
        <v>23</v>
      </c>
      <c r="I131" s="845">
        <v>23</v>
      </c>
      <c r="J131" s="845">
        <v>23</v>
      </c>
      <c r="K131" s="845">
        <v>22</v>
      </c>
      <c r="L131" s="845">
        <v>23</v>
      </c>
      <c r="M131" s="845">
        <v>22</v>
      </c>
      <c r="N131" s="869">
        <f t="shared" si="42"/>
        <v>23.5</v>
      </c>
      <c r="O131" s="843"/>
      <c r="P131" s="843"/>
      <c r="Q131" s="843"/>
      <c r="R131" s="843"/>
      <c r="S131" s="843"/>
      <c r="T131" s="843"/>
      <c r="U131" s="843"/>
      <c r="V131" s="843"/>
      <c r="W131" s="843"/>
      <c r="X131" s="843"/>
    </row>
    <row r="132" spans="1:24" s="690" customFormat="1" ht="26.25" customHeight="1">
      <c r="A132" s="870" t="s">
        <v>633</v>
      </c>
      <c r="B132" s="846">
        <v>24</v>
      </c>
      <c r="C132" s="846">
        <v>26</v>
      </c>
      <c r="D132" s="846">
        <v>26</v>
      </c>
      <c r="E132" s="846">
        <v>25</v>
      </c>
      <c r="F132" s="846">
        <v>25</v>
      </c>
      <c r="G132" s="846">
        <v>26</v>
      </c>
      <c r="H132" s="846">
        <v>26</v>
      </c>
      <c r="I132" s="846">
        <v>25</v>
      </c>
      <c r="J132" s="846">
        <v>23</v>
      </c>
      <c r="K132" s="846">
        <v>21</v>
      </c>
      <c r="L132" s="846">
        <v>22</v>
      </c>
      <c r="M132" s="846">
        <v>23</v>
      </c>
      <c r="N132" s="871">
        <f t="shared" si="42"/>
        <v>24.333333333333332</v>
      </c>
      <c r="O132" s="843"/>
      <c r="P132" s="843"/>
      <c r="Q132" s="843"/>
      <c r="R132" s="843"/>
      <c r="S132" s="843"/>
      <c r="T132" s="843"/>
      <c r="U132" s="843"/>
      <c r="V132" s="843"/>
      <c r="W132" s="843"/>
      <c r="X132" s="843"/>
    </row>
    <row r="133" spans="1:24" s="690" customFormat="1" ht="26.25" customHeight="1">
      <c r="A133" s="868" t="s">
        <v>634</v>
      </c>
      <c r="B133" s="845">
        <v>24</v>
      </c>
      <c r="C133" s="845">
        <v>23</v>
      </c>
      <c r="D133" s="845">
        <v>23</v>
      </c>
      <c r="E133" s="845">
        <v>23</v>
      </c>
      <c r="F133" s="845">
        <v>23</v>
      </c>
      <c r="G133" s="845">
        <v>23</v>
      </c>
      <c r="H133" s="845">
        <v>25</v>
      </c>
      <c r="I133" s="845">
        <v>24</v>
      </c>
      <c r="J133" s="845">
        <v>24</v>
      </c>
      <c r="K133" s="845">
        <v>23</v>
      </c>
      <c r="L133" s="845">
        <v>21</v>
      </c>
      <c r="M133" s="845">
        <v>22</v>
      </c>
      <c r="N133" s="869">
        <f t="shared" si="42"/>
        <v>23.166666666666668</v>
      </c>
      <c r="O133" s="843"/>
      <c r="P133" s="843"/>
      <c r="Q133" s="843"/>
      <c r="R133" s="843"/>
      <c r="S133" s="843"/>
      <c r="T133" s="843"/>
      <c r="U133" s="843"/>
      <c r="V133" s="843"/>
      <c r="W133" s="843"/>
      <c r="X133" s="843"/>
    </row>
    <row r="134" spans="1:24" s="690" customFormat="1" ht="26.25" customHeight="1">
      <c r="A134" s="870" t="s">
        <v>635</v>
      </c>
      <c r="B134" s="846">
        <v>19</v>
      </c>
      <c r="C134" s="846">
        <v>22</v>
      </c>
      <c r="D134" s="846">
        <v>22</v>
      </c>
      <c r="E134" s="846">
        <v>22</v>
      </c>
      <c r="F134" s="846">
        <v>22</v>
      </c>
      <c r="G134" s="846">
        <v>22</v>
      </c>
      <c r="H134" s="846">
        <v>22</v>
      </c>
      <c r="I134" s="846">
        <v>22</v>
      </c>
      <c r="J134" s="846">
        <v>22</v>
      </c>
      <c r="K134" s="846">
        <v>21</v>
      </c>
      <c r="L134" s="846">
        <v>21</v>
      </c>
      <c r="M134" s="846">
        <v>21</v>
      </c>
      <c r="N134" s="871">
        <f t="shared" si="42"/>
        <v>21.5</v>
      </c>
      <c r="O134" s="843"/>
      <c r="P134" s="843"/>
      <c r="Q134" s="843"/>
      <c r="R134" s="843"/>
      <c r="S134" s="843"/>
      <c r="T134" s="843"/>
      <c r="U134" s="843"/>
      <c r="V134" s="843"/>
      <c r="W134" s="843"/>
      <c r="X134" s="843"/>
    </row>
    <row r="135" spans="1:24" s="690" customFormat="1" ht="26.25" customHeight="1">
      <c r="A135" s="868" t="s">
        <v>636</v>
      </c>
      <c r="B135" s="845">
        <v>17</v>
      </c>
      <c r="C135" s="845">
        <v>14</v>
      </c>
      <c r="D135" s="845">
        <v>14</v>
      </c>
      <c r="E135" s="845">
        <v>14</v>
      </c>
      <c r="F135" s="845">
        <v>11</v>
      </c>
      <c r="G135" s="845">
        <v>11</v>
      </c>
      <c r="H135" s="845">
        <v>11</v>
      </c>
      <c r="I135" s="845">
        <v>11</v>
      </c>
      <c r="J135" s="845">
        <v>11</v>
      </c>
      <c r="K135" s="845">
        <v>11</v>
      </c>
      <c r="L135" s="845">
        <v>9</v>
      </c>
      <c r="M135" s="845">
        <v>8</v>
      </c>
      <c r="N135" s="869">
        <f t="shared" si="42"/>
        <v>11.833333333333334</v>
      </c>
      <c r="O135" s="843"/>
      <c r="P135" s="843"/>
      <c r="Q135" s="843"/>
      <c r="R135" s="843"/>
      <c r="S135" s="843"/>
      <c r="T135" s="843"/>
      <c r="U135" s="843"/>
      <c r="V135" s="843"/>
      <c r="W135" s="843"/>
      <c r="X135" s="843"/>
    </row>
    <row r="136" spans="1:24" s="690" customFormat="1" ht="26.25" customHeight="1">
      <c r="A136" s="870" t="s">
        <v>637</v>
      </c>
      <c r="B136" s="846">
        <v>15</v>
      </c>
      <c r="C136" s="846">
        <v>16</v>
      </c>
      <c r="D136" s="846">
        <v>16</v>
      </c>
      <c r="E136" s="846">
        <v>16</v>
      </c>
      <c r="F136" s="846">
        <v>16</v>
      </c>
      <c r="G136" s="846">
        <v>16</v>
      </c>
      <c r="H136" s="846">
        <v>16</v>
      </c>
      <c r="I136" s="846">
        <v>17</v>
      </c>
      <c r="J136" s="846">
        <v>16</v>
      </c>
      <c r="K136" s="846">
        <v>16</v>
      </c>
      <c r="L136" s="846">
        <v>16</v>
      </c>
      <c r="M136" s="846">
        <v>16</v>
      </c>
      <c r="N136" s="871">
        <f t="shared" si="42"/>
        <v>16</v>
      </c>
      <c r="O136" s="843"/>
      <c r="P136" s="843"/>
      <c r="Q136" s="843"/>
      <c r="R136" s="843"/>
      <c r="S136" s="843"/>
      <c r="T136" s="843"/>
      <c r="U136" s="843"/>
      <c r="V136" s="843"/>
      <c r="W136" s="843"/>
      <c r="X136" s="843"/>
    </row>
    <row r="137" spans="1:24" s="690" customFormat="1" ht="26.25" customHeight="1">
      <c r="A137" s="868" t="s">
        <v>638</v>
      </c>
      <c r="B137" s="845">
        <v>13</v>
      </c>
      <c r="C137" s="845">
        <v>13</v>
      </c>
      <c r="D137" s="845">
        <v>13</v>
      </c>
      <c r="E137" s="845">
        <v>12</v>
      </c>
      <c r="F137" s="845">
        <v>13</v>
      </c>
      <c r="G137" s="845">
        <v>13</v>
      </c>
      <c r="H137" s="845">
        <v>12</v>
      </c>
      <c r="I137" s="845">
        <v>12</v>
      </c>
      <c r="J137" s="845">
        <v>12</v>
      </c>
      <c r="K137" s="845">
        <v>11</v>
      </c>
      <c r="L137" s="845">
        <v>10</v>
      </c>
      <c r="M137" s="845">
        <v>10</v>
      </c>
      <c r="N137" s="869">
        <f t="shared" si="42"/>
        <v>12</v>
      </c>
      <c r="O137" s="843"/>
      <c r="P137" s="843"/>
      <c r="Q137" s="843"/>
      <c r="R137" s="843"/>
      <c r="S137" s="843"/>
      <c r="T137" s="843"/>
      <c r="U137" s="843"/>
      <c r="V137" s="843"/>
      <c r="W137" s="843"/>
      <c r="X137" s="843"/>
    </row>
    <row r="138" spans="1:24" s="690" customFormat="1" ht="26.25" customHeight="1">
      <c r="A138" s="870" t="s">
        <v>639</v>
      </c>
      <c r="B138" s="846">
        <v>10</v>
      </c>
      <c r="C138" s="846">
        <v>12</v>
      </c>
      <c r="D138" s="846">
        <v>14</v>
      </c>
      <c r="E138" s="846">
        <v>13</v>
      </c>
      <c r="F138" s="846">
        <v>14</v>
      </c>
      <c r="G138" s="846">
        <v>12</v>
      </c>
      <c r="H138" s="846">
        <v>12</v>
      </c>
      <c r="I138" s="846">
        <v>10</v>
      </c>
      <c r="J138" s="846">
        <v>9</v>
      </c>
      <c r="K138" s="846">
        <v>9</v>
      </c>
      <c r="L138" s="846">
        <v>9</v>
      </c>
      <c r="M138" s="846">
        <v>13</v>
      </c>
      <c r="N138" s="871">
        <f t="shared" si="42"/>
        <v>11.416666666666666</v>
      </c>
      <c r="O138" s="843"/>
      <c r="P138" s="843"/>
      <c r="Q138" s="843"/>
      <c r="R138" s="843"/>
      <c r="S138" s="843"/>
      <c r="T138" s="843"/>
      <c r="U138" s="843"/>
      <c r="V138" s="843"/>
      <c r="W138" s="843"/>
      <c r="X138" s="843"/>
    </row>
    <row r="139" spans="1:24" s="690" customFormat="1" ht="26.25" customHeight="1">
      <c r="A139" s="875" t="s">
        <v>640</v>
      </c>
      <c r="B139" s="876">
        <v>81</v>
      </c>
      <c r="C139" s="876">
        <v>81</v>
      </c>
      <c r="D139" s="876">
        <v>82</v>
      </c>
      <c r="E139" s="876">
        <v>81</v>
      </c>
      <c r="F139" s="876">
        <v>79</v>
      </c>
      <c r="G139" s="876">
        <v>80</v>
      </c>
      <c r="H139" s="876">
        <v>76</v>
      </c>
      <c r="I139" s="876">
        <v>75</v>
      </c>
      <c r="J139" s="876">
        <v>73</v>
      </c>
      <c r="K139" s="876">
        <v>76</v>
      </c>
      <c r="L139" s="876">
        <v>76</v>
      </c>
      <c r="M139" s="877">
        <v>75</v>
      </c>
      <c r="N139" s="878">
        <f t="shared" si="42"/>
        <v>77.916666666666671</v>
      </c>
      <c r="O139" s="843"/>
      <c r="P139" s="843"/>
      <c r="Q139" s="843"/>
      <c r="R139" s="843"/>
      <c r="S139" s="843"/>
      <c r="T139" s="843"/>
      <c r="U139" s="843"/>
      <c r="V139" s="843"/>
      <c r="W139" s="843"/>
      <c r="X139" s="843"/>
    </row>
    <row r="140" spans="1:24" s="690" customFormat="1" ht="26.25" customHeight="1">
      <c r="A140" s="872" t="s">
        <v>6</v>
      </c>
      <c r="B140" s="847">
        <f t="shared" ref="B140:N140" si="43">SUM(B125:B139)</f>
        <v>1987</v>
      </c>
      <c r="C140" s="847">
        <f t="shared" si="43"/>
        <v>2045</v>
      </c>
      <c r="D140" s="847">
        <f t="shared" si="43"/>
        <v>2044</v>
      </c>
      <c r="E140" s="847">
        <f t="shared" si="43"/>
        <v>2020</v>
      </c>
      <c r="F140" s="847">
        <f t="shared" si="43"/>
        <v>2001</v>
      </c>
      <c r="G140" s="847">
        <f t="shared" si="43"/>
        <v>1985</v>
      </c>
      <c r="H140" s="847">
        <f t="shared" si="43"/>
        <v>1950</v>
      </c>
      <c r="I140" s="847">
        <f t="shared" si="43"/>
        <v>1938</v>
      </c>
      <c r="J140" s="855">
        <f t="shared" si="43"/>
        <v>1936</v>
      </c>
      <c r="K140" s="847">
        <f t="shared" si="43"/>
        <v>1935</v>
      </c>
      <c r="L140" s="847">
        <f t="shared" si="43"/>
        <v>1950</v>
      </c>
      <c r="M140" s="847">
        <f t="shared" si="43"/>
        <v>2000</v>
      </c>
      <c r="N140" s="873">
        <f t="shared" si="43"/>
        <v>1982.5833333333335</v>
      </c>
      <c r="O140" s="843"/>
      <c r="P140" s="843"/>
      <c r="Q140" s="843"/>
      <c r="R140" s="843"/>
      <c r="S140" s="843"/>
      <c r="T140" s="843"/>
      <c r="U140" s="843"/>
      <c r="V140" s="843"/>
      <c r="W140" s="843"/>
      <c r="X140" s="843"/>
    </row>
    <row r="142" spans="1:24">
      <c r="D142" s="833" t="s">
        <v>644</v>
      </c>
    </row>
    <row r="143" spans="1:24" ht="26.25" thickBot="1">
      <c r="G143" s="863" t="s">
        <v>622</v>
      </c>
    </row>
    <row r="144" spans="1:24" s="690" customFormat="1" ht="35.25" customHeight="1" thickBot="1">
      <c r="A144" s="865" t="s">
        <v>436</v>
      </c>
      <c r="B144" s="866" t="s">
        <v>252</v>
      </c>
      <c r="C144" s="866" t="s">
        <v>253</v>
      </c>
      <c r="D144" s="866" t="s">
        <v>254</v>
      </c>
      <c r="E144" s="866" t="s">
        <v>255</v>
      </c>
      <c r="F144" s="866" t="s">
        <v>256</v>
      </c>
      <c r="G144" s="866" t="s">
        <v>257</v>
      </c>
      <c r="H144" s="866" t="s">
        <v>258</v>
      </c>
      <c r="I144" s="866" t="s">
        <v>259</v>
      </c>
      <c r="J144" s="866" t="s">
        <v>260</v>
      </c>
      <c r="K144" s="866" t="s">
        <v>261</v>
      </c>
      <c r="L144" s="866" t="s">
        <v>240</v>
      </c>
      <c r="M144" s="866" t="s">
        <v>241</v>
      </c>
      <c r="N144" s="867" t="s">
        <v>641</v>
      </c>
      <c r="O144" s="836"/>
      <c r="P144" s="836"/>
      <c r="Q144" s="836"/>
      <c r="R144" s="836"/>
      <c r="S144" s="836"/>
      <c r="T144" s="836"/>
      <c r="U144" s="836"/>
      <c r="V144" s="836"/>
      <c r="W144" s="836"/>
      <c r="X144" s="836"/>
    </row>
    <row r="145" spans="1:24" s="52" customFormat="1" ht="26.25" customHeight="1">
      <c r="A145" s="888" t="s">
        <v>646</v>
      </c>
      <c r="B145" s="882">
        <v>715</v>
      </c>
      <c r="C145" s="882">
        <v>725</v>
      </c>
      <c r="D145" s="882">
        <v>715</v>
      </c>
      <c r="E145" s="882">
        <v>759</v>
      </c>
      <c r="F145" s="882">
        <v>765</v>
      </c>
      <c r="G145" s="882">
        <v>686</v>
      </c>
      <c r="H145" s="882">
        <v>672</v>
      </c>
      <c r="I145" s="882">
        <v>666</v>
      </c>
      <c r="J145" s="883">
        <v>664</v>
      </c>
      <c r="K145" s="883">
        <v>668</v>
      </c>
      <c r="L145" s="882">
        <v>659</v>
      </c>
      <c r="M145" s="883">
        <v>674</v>
      </c>
      <c r="N145" s="884">
        <f>AVERAGE(B145:M145)</f>
        <v>697.33333333333337</v>
      </c>
      <c r="O145" s="879"/>
      <c r="P145" s="879"/>
      <c r="Q145" s="879"/>
      <c r="R145" s="879"/>
      <c r="S145" s="879"/>
      <c r="T145" s="879"/>
      <c r="U145" s="879"/>
      <c r="V145" s="879"/>
      <c r="W145" s="879"/>
      <c r="X145" s="879"/>
    </row>
    <row r="146" spans="1:24" s="52" customFormat="1" ht="26.25" customHeight="1">
      <c r="A146" s="889" t="s">
        <v>437</v>
      </c>
      <c r="B146" s="885">
        <v>587</v>
      </c>
      <c r="C146" s="885">
        <v>603</v>
      </c>
      <c r="D146" s="885">
        <v>598</v>
      </c>
      <c r="E146" s="885">
        <v>644</v>
      </c>
      <c r="F146" s="885">
        <v>659</v>
      </c>
      <c r="G146" s="885">
        <v>569</v>
      </c>
      <c r="H146" s="885">
        <v>558</v>
      </c>
      <c r="I146" s="885">
        <v>555</v>
      </c>
      <c r="J146" s="885">
        <v>550</v>
      </c>
      <c r="K146" s="885">
        <v>539</v>
      </c>
      <c r="L146" s="885">
        <v>551</v>
      </c>
      <c r="M146" s="885">
        <v>570</v>
      </c>
      <c r="N146" s="886">
        <f t="shared" ref="N146:N156" si="44">AVERAGE(B146:M146)</f>
        <v>581.91666666666663</v>
      </c>
      <c r="O146" s="879"/>
      <c r="P146" s="879"/>
      <c r="Q146" s="879"/>
      <c r="R146" s="879"/>
      <c r="S146" s="879"/>
      <c r="T146" s="879"/>
      <c r="U146" s="879"/>
      <c r="V146" s="879"/>
      <c r="W146" s="879"/>
      <c r="X146" s="879"/>
    </row>
    <row r="147" spans="1:24" s="52" customFormat="1" ht="26.25" customHeight="1">
      <c r="A147" s="888" t="s">
        <v>438</v>
      </c>
      <c r="B147" s="882">
        <v>185</v>
      </c>
      <c r="C147" s="882">
        <v>186</v>
      </c>
      <c r="D147" s="882">
        <v>191</v>
      </c>
      <c r="E147" s="882">
        <v>220</v>
      </c>
      <c r="F147" s="882">
        <v>222</v>
      </c>
      <c r="G147" s="882">
        <v>192</v>
      </c>
      <c r="H147" s="882">
        <v>186</v>
      </c>
      <c r="I147" s="882">
        <v>186</v>
      </c>
      <c r="J147" s="882">
        <v>187</v>
      </c>
      <c r="K147" s="882">
        <v>188</v>
      </c>
      <c r="L147" s="882">
        <v>191</v>
      </c>
      <c r="M147" s="882">
        <v>198</v>
      </c>
      <c r="N147" s="887">
        <f t="shared" si="44"/>
        <v>194.33333333333334</v>
      </c>
      <c r="O147" s="879"/>
      <c r="P147" s="879"/>
      <c r="Q147" s="879"/>
      <c r="R147" s="879"/>
      <c r="S147" s="879"/>
      <c r="T147" s="879"/>
      <c r="U147" s="879"/>
      <c r="V147" s="879"/>
      <c r="W147" s="879"/>
      <c r="X147" s="879"/>
    </row>
    <row r="148" spans="1:24" s="52" customFormat="1" ht="47.25" customHeight="1">
      <c r="A148" s="889" t="s">
        <v>647</v>
      </c>
      <c r="B148" s="885">
        <v>183</v>
      </c>
      <c r="C148" s="885">
        <v>188</v>
      </c>
      <c r="D148" s="885">
        <v>187</v>
      </c>
      <c r="E148" s="885">
        <v>207</v>
      </c>
      <c r="F148" s="885">
        <v>217</v>
      </c>
      <c r="G148" s="885">
        <v>186</v>
      </c>
      <c r="H148" s="885">
        <v>190</v>
      </c>
      <c r="I148" s="885">
        <v>192</v>
      </c>
      <c r="J148" s="885">
        <v>186</v>
      </c>
      <c r="K148" s="885">
        <v>197</v>
      </c>
      <c r="L148" s="885">
        <v>183</v>
      </c>
      <c r="M148" s="885">
        <v>197</v>
      </c>
      <c r="N148" s="886">
        <f t="shared" si="44"/>
        <v>192.75</v>
      </c>
      <c r="O148" s="879"/>
      <c r="P148" s="879"/>
      <c r="Q148" s="879"/>
      <c r="R148" s="879"/>
      <c r="S148" s="879"/>
      <c r="T148" s="879"/>
      <c r="U148" s="879"/>
      <c r="V148" s="879"/>
      <c r="W148" s="879"/>
      <c r="X148" s="879"/>
    </row>
    <row r="149" spans="1:24" s="52" customFormat="1" ht="47.25" customHeight="1">
      <c r="A149" s="888" t="s">
        <v>440</v>
      </c>
      <c r="B149" s="882">
        <v>173</v>
      </c>
      <c r="C149" s="882">
        <v>181</v>
      </c>
      <c r="D149" s="882">
        <v>179</v>
      </c>
      <c r="E149" s="882">
        <v>232</v>
      </c>
      <c r="F149" s="882">
        <v>231</v>
      </c>
      <c r="G149" s="882">
        <v>181</v>
      </c>
      <c r="H149" s="882">
        <v>181</v>
      </c>
      <c r="I149" s="882">
        <v>177</v>
      </c>
      <c r="J149" s="882">
        <v>178</v>
      </c>
      <c r="K149" s="882">
        <v>178</v>
      </c>
      <c r="L149" s="882">
        <v>188</v>
      </c>
      <c r="M149" s="882">
        <v>193</v>
      </c>
      <c r="N149" s="887">
        <f t="shared" si="44"/>
        <v>189.33333333333334</v>
      </c>
      <c r="O149" s="879"/>
      <c r="P149" s="879"/>
      <c r="Q149" s="879"/>
      <c r="R149" s="879"/>
      <c r="S149" s="879"/>
      <c r="T149" s="879"/>
      <c r="U149" s="879"/>
      <c r="V149" s="879"/>
      <c r="W149" s="879"/>
      <c r="X149" s="879"/>
    </row>
    <row r="150" spans="1:24" s="52" customFormat="1" ht="26.25" customHeight="1">
      <c r="A150" s="889" t="s">
        <v>439</v>
      </c>
      <c r="B150" s="885">
        <v>168</v>
      </c>
      <c r="C150" s="885">
        <v>170</v>
      </c>
      <c r="D150" s="885">
        <v>171</v>
      </c>
      <c r="E150" s="885">
        <v>40</v>
      </c>
      <c r="F150" s="885">
        <v>210</v>
      </c>
      <c r="G150" s="885">
        <v>165</v>
      </c>
      <c r="H150" s="885">
        <v>164</v>
      </c>
      <c r="I150" s="885">
        <v>168</v>
      </c>
      <c r="J150" s="885">
        <v>169</v>
      </c>
      <c r="K150" s="885">
        <v>170</v>
      </c>
      <c r="L150" s="885">
        <v>170</v>
      </c>
      <c r="M150" s="885">
        <v>180</v>
      </c>
      <c r="N150" s="886">
        <f t="shared" si="44"/>
        <v>162.08333333333334</v>
      </c>
      <c r="O150" s="879"/>
      <c r="P150" s="879"/>
      <c r="Q150" s="879"/>
      <c r="R150" s="879"/>
      <c r="S150" s="879"/>
      <c r="T150" s="879"/>
      <c r="U150" s="879"/>
      <c r="V150" s="879"/>
      <c r="W150" s="879"/>
      <c r="X150" s="879"/>
    </row>
    <row r="151" spans="1:24" s="52" customFormat="1" ht="47.25" customHeight="1">
      <c r="A151" s="888" t="s">
        <v>648</v>
      </c>
      <c r="B151" s="882">
        <v>77</v>
      </c>
      <c r="C151" s="882">
        <v>79</v>
      </c>
      <c r="D151" s="882">
        <v>79</v>
      </c>
      <c r="E151" s="882">
        <v>25</v>
      </c>
      <c r="F151" s="882">
        <v>76</v>
      </c>
      <c r="G151" s="882">
        <v>77</v>
      </c>
      <c r="H151" s="882">
        <v>75</v>
      </c>
      <c r="I151" s="882">
        <v>75</v>
      </c>
      <c r="J151" s="882">
        <v>75</v>
      </c>
      <c r="K151" s="882">
        <v>75</v>
      </c>
      <c r="L151" s="882">
        <v>75</v>
      </c>
      <c r="M151" s="882">
        <v>80</v>
      </c>
      <c r="N151" s="887">
        <f t="shared" si="44"/>
        <v>72.333333333333329</v>
      </c>
      <c r="O151" s="879"/>
      <c r="P151" s="879"/>
      <c r="Q151" s="879"/>
      <c r="R151" s="879"/>
      <c r="S151" s="879"/>
      <c r="T151" s="879"/>
      <c r="U151" s="879"/>
      <c r="V151" s="879"/>
      <c r="W151" s="879"/>
      <c r="X151" s="879"/>
    </row>
    <row r="152" spans="1:24" s="52" customFormat="1" ht="65.25" customHeight="1">
      <c r="A152" s="889" t="s">
        <v>649</v>
      </c>
      <c r="B152" s="885">
        <v>70</v>
      </c>
      <c r="C152" s="885">
        <v>71</v>
      </c>
      <c r="D152" s="885">
        <v>71</v>
      </c>
      <c r="E152" s="885">
        <v>30</v>
      </c>
      <c r="F152" s="885">
        <v>89</v>
      </c>
      <c r="G152" s="885">
        <v>70</v>
      </c>
      <c r="H152" s="885">
        <v>71</v>
      </c>
      <c r="I152" s="885">
        <v>74</v>
      </c>
      <c r="J152" s="885">
        <v>73</v>
      </c>
      <c r="K152" s="885">
        <v>74</v>
      </c>
      <c r="L152" s="885">
        <v>76</v>
      </c>
      <c r="M152" s="885">
        <v>73</v>
      </c>
      <c r="N152" s="886">
        <f t="shared" si="44"/>
        <v>70.166666666666671</v>
      </c>
      <c r="O152" s="879"/>
      <c r="P152" s="879"/>
      <c r="Q152" s="879"/>
      <c r="R152" s="879"/>
      <c r="S152" s="879"/>
      <c r="T152" s="879"/>
      <c r="U152" s="879"/>
      <c r="V152" s="879"/>
      <c r="W152" s="879"/>
      <c r="X152" s="879"/>
    </row>
    <row r="153" spans="1:24" s="52" customFormat="1" ht="26.25" customHeight="1">
      <c r="A153" s="888" t="s">
        <v>650</v>
      </c>
      <c r="B153" s="882">
        <v>67</v>
      </c>
      <c r="C153" s="882">
        <v>72</v>
      </c>
      <c r="D153" s="882">
        <v>75</v>
      </c>
      <c r="E153" s="882">
        <v>22</v>
      </c>
      <c r="F153" s="882">
        <v>55</v>
      </c>
      <c r="G153" s="882">
        <v>69</v>
      </c>
      <c r="H153" s="882">
        <v>70</v>
      </c>
      <c r="I153" s="882">
        <v>67</v>
      </c>
      <c r="J153" s="882">
        <v>72</v>
      </c>
      <c r="K153" s="882">
        <v>68</v>
      </c>
      <c r="L153" s="882">
        <v>68</v>
      </c>
      <c r="M153" s="882">
        <v>67</v>
      </c>
      <c r="N153" s="887">
        <f t="shared" si="44"/>
        <v>64.333333333333329</v>
      </c>
      <c r="O153" s="879"/>
      <c r="P153" s="879"/>
      <c r="Q153" s="879"/>
      <c r="R153" s="879"/>
      <c r="S153" s="879"/>
      <c r="T153" s="879"/>
      <c r="U153" s="879"/>
      <c r="V153" s="879"/>
      <c r="W153" s="879"/>
      <c r="X153" s="879"/>
    </row>
    <row r="154" spans="1:24" s="52" customFormat="1" ht="26.25" customHeight="1">
      <c r="A154" s="889" t="s">
        <v>651</v>
      </c>
      <c r="B154" s="885">
        <v>50</v>
      </c>
      <c r="C154" s="885">
        <v>49</v>
      </c>
      <c r="D154" s="885">
        <v>52</v>
      </c>
      <c r="E154" s="885">
        <v>62</v>
      </c>
      <c r="F154" s="885">
        <v>61</v>
      </c>
      <c r="G154" s="885">
        <v>48</v>
      </c>
      <c r="H154" s="885">
        <v>48</v>
      </c>
      <c r="I154" s="885">
        <v>49</v>
      </c>
      <c r="J154" s="885">
        <v>49</v>
      </c>
      <c r="K154" s="885">
        <v>48</v>
      </c>
      <c r="L154" s="885">
        <v>47</v>
      </c>
      <c r="M154" s="885">
        <v>49</v>
      </c>
      <c r="N154" s="886">
        <f t="shared" si="44"/>
        <v>51</v>
      </c>
      <c r="O154" s="879"/>
      <c r="P154" s="879"/>
      <c r="Q154" s="879"/>
      <c r="R154" s="879"/>
      <c r="S154" s="879"/>
      <c r="T154" s="879"/>
      <c r="U154" s="879"/>
      <c r="V154" s="879"/>
      <c r="W154" s="879"/>
      <c r="X154" s="879"/>
    </row>
    <row r="155" spans="1:24" s="52" customFormat="1" ht="47.25" customHeight="1">
      <c r="A155" s="888" t="s">
        <v>652</v>
      </c>
      <c r="B155" s="882"/>
      <c r="C155" s="882"/>
      <c r="D155" s="882"/>
      <c r="E155" s="882"/>
      <c r="F155" s="882"/>
      <c r="G155" s="882">
        <v>56</v>
      </c>
      <c r="H155" s="882">
        <v>55</v>
      </c>
      <c r="I155" s="882">
        <v>51</v>
      </c>
      <c r="J155" s="882">
        <v>43</v>
      </c>
      <c r="K155" s="882">
        <v>49</v>
      </c>
      <c r="L155" s="882">
        <v>54</v>
      </c>
      <c r="M155" s="882">
        <v>53</v>
      </c>
      <c r="N155" s="887">
        <f t="shared" si="44"/>
        <v>51.571428571428569</v>
      </c>
      <c r="O155" s="879"/>
      <c r="P155" s="879"/>
      <c r="Q155" s="879"/>
      <c r="R155" s="879"/>
      <c r="S155" s="879"/>
      <c r="T155" s="879"/>
      <c r="U155" s="879"/>
      <c r="V155" s="879"/>
      <c r="W155" s="879"/>
      <c r="X155" s="879"/>
    </row>
    <row r="156" spans="1:24" s="52" customFormat="1" ht="26.25" customHeight="1">
      <c r="A156" s="889" t="s">
        <v>653</v>
      </c>
      <c r="B156" s="885">
        <v>441</v>
      </c>
      <c r="C156" s="885">
        <v>452</v>
      </c>
      <c r="D156" s="885">
        <v>460</v>
      </c>
      <c r="E156" s="885">
        <v>848</v>
      </c>
      <c r="F156" s="885">
        <v>540</v>
      </c>
      <c r="G156" s="885">
        <v>401</v>
      </c>
      <c r="H156" s="885">
        <v>401</v>
      </c>
      <c r="I156" s="885">
        <v>407</v>
      </c>
      <c r="J156" s="885">
        <v>411</v>
      </c>
      <c r="K156" s="885">
        <v>386</v>
      </c>
      <c r="L156" s="885">
        <v>416</v>
      </c>
      <c r="M156" s="885">
        <v>417</v>
      </c>
      <c r="N156" s="886">
        <f t="shared" si="44"/>
        <v>465</v>
      </c>
      <c r="O156" s="879"/>
      <c r="P156" s="879"/>
      <c r="Q156" s="879"/>
      <c r="R156" s="879"/>
      <c r="S156" s="879"/>
      <c r="T156" s="879"/>
      <c r="U156" s="879"/>
      <c r="V156" s="879"/>
      <c r="W156" s="879"/>
      <c r="X156" s="879"/>
    </row>
    <row r="157" spans="1:24" s="690" customFormat="1" ht="27.75" customHeight="1">
      <c r="A157" s="872" t="s">
        <v>6</v>
      </c>
      <c r="B157" s="847">
        <f t="shared" ref="B157:N157" si="45">SUM(B145:B156)</f>
        <v>2716</v>
      </c>
      <c r="C157" s="847">
        <f t="shared" si="45"/>
        <v>2776</v>
      </c>
      <c r="D157" s="847">
        <f t="shared" si="45"/>
        <v>2778</v>
      </c>
      <c r="E157" s="847">
        <f t="shared" si="45"/>
        <v>3089</v>
      </c>
      <c r="F157" s="847">
        <f t="shared" si="45"/>
        <v>3125</v>
      </c>
      <c r="G157" s="847">
        <f t="shared" si="45"/>
        <v>2700</v>
      </c>
      <c r="H157" s="847">
        <f t="shared" si="45"/>
        <v>2671</v>
      </c>
      <c r="I157" s="847">
        <f t="shared" si="45"/>
        <v>2667</v>
      </c>
      <c r="J157" s="855">
        <f t="shared" si="45"/>
        <v>2657</v>
      </c>
      <c r="K157" s="847">
        <f t="shared" si="45"/>
        <v>2640</v>
      </c>
      <c r="L157" s="847">
        <f t="shared" si="45"/>
        <v>2678</v>
      </c>
      <c r="M157" s="847">
        <f t="shared" si="45"/>
        <v>2751</v>
      </c>
      <c r="N157" s="873">
        <f t="shared" si="45"/>
        <v>2792.1547619047615</v>
      </c>
      <c r="O157" s="843"/>
      <c r="P157" s="843"/>
      <c r="Q157" s="843"/>
      <c r="R157" s="843"/>
      <c r="S157" s="843"/>
      <c r="T157" s="843"/>
      <c r="U157" s="843"/>
      <c r="V157" s="843"/>
      <c r="W157" s="843"/>
      <c r="X157" s="843"/>
    </row>
    <row r="159" spans="1:24">
      <c r="C159" s="835"/>
      <c r="D159" s="835" t="s">
        <v>645</v>
      </c>
      <c r="E159" s="835"/>
      <c r="F159" s="835"/>
      <c r="G159" s="835"/>
      <c r="I159" s="835"/>
      <c r="J159" s="835"/>
      <c r="K159" s="835"/>
      <c r="L159" s="835"/>
      <c r="M159" s="835"/>
    </row>
    <row r="160" spans="1:24" ht="26.25" thickBot="1">
      <c r="B160" s="835"/>
      <c r="C160" s="835"/>
      <c r="D160" s="835"/>
      <c r="E160" s="835"/>
      <c r="F160" s="835"/>
      <c r="G160" s="835"/>
      <c r="H160" s="835"/>
      <c r="I160" s="835"/>
      <c r="J160" s="835"/>
      <c r="K160" s="835"/>
      <c r="L160" s="835"/>
      <c r="M160" s="835"/>
    </row>
    <row r="161" spans="1:24" s="690" customFormat="1" ht="35.25" customHeight="1" thickBot="1">
      <c r="A161" s="865" t="s">
        <v>436</v>
      </c>
      <c r="B161" s="866" t="s">
        <v>252</v>
      </c>
      <c r="C161" s="866" t="s">
        <v>253</v>
      </c>
      <c r="D161" s="866" t="s">
        <v>254</v>
      </c>
      <c r="E161" s="866" t="s">
        <v>255</v>
      </c>
      <c r="F161" s="866" t="s">
        <v>256</v>
      </c>
      <c r="G161" s="866" t="s">
        <v>257</v>
      </c>
      <c r="H161" s="866" t="s">
        <v>258</v>
      </c>
      <c r="I161" s="866" t="s">
        <v>259</v>
      </c>
      <c r="J161" s="866" t="s">
        <v>260</v>
      </c>
      <c r="K161" s="866" t="s">
        <v>261</v>
      </c>
      <c r="L161" s="866" t="s">
        <v>240</v>
      </c>
      <c r="M161" s="866" t="s">
        <v>241</v>
      </c>
      <c r="N161" s="867" t="s">
        <v>641</v>
      </c>
      <c r="O161" s="836"/>
      <c r="P161" s="836"/>
      <c r="Q161" s="836"/>
      <c r="R161" s="836"/>
      <c r="S161" s="836"/>
      <c r="T161" s="836"/>
      <c r="U161" s="836"/>
      <c r="V161" s="836"/>
      <c r="W161" s="836"/>
      <c r="X161" s="836"/>
    </row>
    <row r="162" spans="1:24" s="52" customFormat="1" ht="27.75" customHeight="1">
      <c r="A162" s="881" t="s">
        <v>2</v>
      </c>
      <c r="B162" s="882">
        <v>684</v>
      </c>
      <c r="C162" s="882">
        <v>700</v>
      </c>
      <c r="D162" s="882">
        <v>692</v>
      </c>
      <c r="E162" s="882">
        <v>699</v>
      </c>
      <c r="F162" s="882">
        <v>686</v>
      </c>
      <c r="G162" s="882">
        <v>678</v>
      </c>
      <c r="H162" s="882">
        <v>662</v>
      </c>
      <c r="I162" s="882">
        <v>657</v>
      </c>
      <c r="J162" s="883">
        <v>651</v>
      </c>
      <c r="K162" s="883">
        <v>641</v>
      </c>
      <c r="L162" s="882">
        <v>635</v>
      </c>
      <c r="M162" s="883">
        <v>652</v>
      </c>
      <c r="N162" s="884">
        <f>AVERAGE(B162:M162)</f>
        <v>669.75</v>
      </c>
      <c r="O162" s="879"/>
      <c r="P162" s="879"/>
      <c r="Q162" s="879"/>
      <c r="R162" s="879"/>
      <c r="S162" s="879"/>
      <c r="T162" s="879"/>
      <c r="U162" s="879"/>
      <c r="V162" s="879"/>
      <c r="W162" s="879"/>
      <c r="X162" s="879"/>
    </row>
    <row r="163" spans="1:24" s="52" customFormat="1" ht="27.75" customHeight="1">
      <c r="A163" s="880" t="s">
        <v>654</v>
      </c>
      <c r="B163" s="885">
        <v>281</v>
      </c>
      <c r="C163" s="885">
        <v>287</v>
      </c>
      <c r="D163" s="885">
        <v>290</v>
      </c>
      <c r="E163" s="885">
        <v>280</v>
      </c>
      <c r="F163" s="885">
        <v>280</v>
      </c>
      <c r="G163" s="885">
        <v>278</v>
      </c>
      <c r="H163" s="885">
        <v>268</v>
      </c>
      <c r="I163" s="885">
        <v>262</v>
      </c>
      <c r="J163" s="885">
        <v>258</v>
      </c>
      <c r="K163" s="885">
        <v>262</v>
      </c>
      <c r="L163" s="885">
        <v>262</v>
      </c>
      <c r="M163" s="885">
        <v>276</v>
      </c>
      <c r="N163" s="886">
        <f t="shared" ref="N163:N168" si="46">AVERAGE(B163:M163)</f>
        <v>273.66666666666669</v>
      </c>
      <c r="O163" s="879"/>
      <c r="P163" s="879"/>
      <c r="Q163" s="879"/>
      <c r="R163" s="879"/>
      <c r="S163" s="879"/>
      <c r="T163" s="879"/>
      <c r="U163" s="879"/>
      <c r="V163" s="879"/>
      <c r="W163" s="879"/>
      <c r="X163" s="879"/>
    </row>
    <row r="164" spans="1:24" s="52" customFormat="1" ht="27.75" customHeight="1">
      <c r="A164" s="881" t="s">
        <v>4</v>
      </c>
      <c r="B164" s="882">
        <v>341</v>
      </c>
      <c r="C164" s="882">
        <v>355</v>
      </c>
      <c r="D164" s="882">
        <v>357</v>
      </c>
      <c r="E164" s="882">
        <v>355</v>
      </c>
      <c r="F164" s="882">
        <v>357</v>
      </c>
      <c r="G164" s="882">
        <v>355</v>
      </c>
      <c r="H164" s="882">
        <v>357</v>
      </c>
      <c r="I164" s="882">
        <v>361</v>
      </c>
      <c r="J164" s="882">
        <v>365</v>
      </c>
      <c r="K164" s="882">
        <v>371</v>
      </c>
      <c r="L164" s="882">
        <v>382</v>
      </c>
      <c r="M164" s="882">
        <v>391</v>
      </c>
      <c r="N164" s="887">
        <f t="shared" si="46"/>
        <v>362.25</v>
      </c>
      <c r="O164" s="879"/>
      <c r="P164" s="879"/>
      <c r="Q164" s="879"/>
      <c r="R164" s="879"/>
      <c r="S164" s="879"/>
      <c r="T164" s="879"/>
      <c r="U164" s="879"/>
      <c r="V164" s="879"/>
      <c r="W164" s="879"/>
      <c r="X164" s="879"/>
    </row>
    <row r="165" spans="1:24" s="52" customFormat="1" ht="27.75" customHeight="1">
      <c r="A165" s="880" t="s">
        <v>655</v>
      </c>
      <c r="B165" s="885">
        <v>572</v>
      </c>
      <c r="C165" s="885">
        <v>588</v>
      </c>
      <c r="D165" s="885">
        <v>582</v>
      </c>
      <c r="E165" s="885">
        <v>561</v>
      </c>
      <c r="F165" s="885">
        <v>551</v>
      </c>
      <c r="G165" s="885">
        <v>542</v>
      </c>
      <c r="H165" s="885">
        <v>527</v>
      </c>
      <c r="I165" s="885">
        <v>520</v>
      </c>
      <c r="J165" s="885">
        <v>522</v>
      </c>
      <c r="K165" s="885">
        <v>514</v>
      </c>
      <c r="L165" s="885">
        <v>513</v>
      </c>
      <c r="M165" s="885">
        <v>519</v>
      </c>
      <c r="N165" s="886">
        <f t="shared" si="46"/>
        <v>542.58333333333337</v>
      </c>
      <c r="O165" s="879"/>
      <c r="P165" s="879"/>
      <c r="Q165" s="879"/>
      <c r="R165" s="879"/>
      <c r="S165" s="879"/>
      <c r="T165" s="879"/>
      <c r="U165" s="879"/>
      <c r="V165" s="879"/>
      <c r="W165" s="879"/>
      <c r="X165" s="879"/>
    </row>
    <row r="166" spans="1:24" s="52" customFormat="1" ht="27.75" customHeight="1">
      <c r="A166" s="881" t="s">
        <v>5</v>
      </c>
      <c r="B166" s="882">
        <v>92</v>
      </c>
      <c r="C166" s="882">
        <v>95</v>
      </c>
      <c r="D166" s="882">
        <v>101</v>
      </c>
      <c r="E166" s="882">
        <v>103</v>
      </c>
      <c r="F166" s="882">
        <v>105</v>
      </c>
      <c r="G166" s="882">
        <v>109</v>
      </c>
      <c r="H166" s="882">
        <v>114</v>
      </c>
      <c r="I166" s="882">
        <v>116</v>
      </c>
      <c r="J166" s="882">
        <v>118</v>
      </c>
      <c r="K166" s="882">
        <v>122</v>
      </c>
      <c r="L166" s="882">
        <v>132</v>
      </c>
      <c r="M166" s="882">
        <v>135</v>
      </c>
      <c r="N166" s="887">
        <f t="shared" si="46"/>
        <v>111.83333333333333</v>
      </c>
      <c r="O166" s="879"/>
      <c r="P166" s="879"/>
      <c r="Q166" s="879"/>
      <c r="R166" s="879"/>
      <c r="S166" s="879"/>
      <c r="T166" s="879"/>
      <c r="U166" s="879"/>
      <c r="V166" s="879"/>
      <c r="W166" s="879"/>
      <c r="X166" s="879"/>
    </row>
    <row r="167" spans="1:24" s="52" customFormat="1" ht="27.75" customHeight="1">
      <c r="A167" s="880" t="s">
        <v>11</v>
      </c>
      <c r="B167" s="885">
        <v>17</v>
      </c>
      <c r="C167" s="885">
        <v>20</v>
      </c>
      <c r="D167" s="885">
        <v>22</v>
      </c>
      <c r="E167" s="885">
        <v>22</v>
      </c>
      <c r="F167" s="885">
        <v>22</v>
      </c>
      <c r="G167" s="885">
        <v>23</v>
      </c>
      <c r="H167" s="885">
        <v>22</v>
      </c>
      <c r="I167" s="885">
        <v>22</v>
      </c>
      <c r="J167" s="885">
        <v>22</v>
      </c>
      <c r="K167" s="885">
        <v>25</v>
      </c>
      <c r="L167" s="885">
        <v>26</v>
      </c>
      <c r="M167" s="885">
        <v>27</v>
      </c>
      <c r="N167" s="886">
        <f t="shared" si="46"/>
        <v>22.5</v>
      </c>
      <c r="O167" s="879"/>
      <c r="P167" s="879"/>
      <c r="Q167" s="879"/>
      <c r="R167" s="879"/>
      <c r="S167" s="879"/>
      <c r="T167" s="879"/>
      <c r="U167" s="879"/>
      <c r="V167" s="879"/>
      <c r="W167" s="879"/>
      <c r="X167" s="879"/>
    </row>
    <row r="168" spans="1:24" s="690" customFormat="1" ht="30.75" customHeight="1">
      <c r="A168" s="872" t="s">
        <v>6</v>
      </c>
      <c r="B168" s="847">
        <f>SUM(B162:B167)</f>
        <v>1987</v>
      </c>
      <c r="C168" s="847">
        <f t="shared" ref="C168:M168" si="47">SUM(C162:C167)</f>
        <v>2045</v>
      </c>
      <c r="D168" s="847">
        <f t="shared" si="47"/>
        <v>2044</v>
      </c>
      <c r="E168" s="847">
        <f t="shared" si="47"/>
        <v>2020</v>
      </c>
      <c r="F168" s="847">
        <f t="shared" si="47"/>
        <v>2001</v>
      </c>
      <c r="G168" s="847">
        <f t="shared" si="47"/>
        <v>1985</v>
      </c>
      <c r="H168" s="847">
        <f t="shared" si="47"/>
        <v>1950</v>
      </c>
      <c r="I168" s="847">
        <f t="shared" si="47"/>
        <v>1938</v>
      </c>
      <c r="J168" s="855">
        <f t="shared" si="47"/>
        <v>1936</v>
      </c>
      <c r="K168" s="847">
        <f t="shared" si="47"/>
        <v>1935</v>
      </c>
      <c r="L168" s="847">
        <f t="shared" si="47"/>
        <v>1950</v>
      </c>
      <c r="M168" s="847">
        <f t="shared" si="47"/>
        <v>2000</v>
      </c>
      <c r="N168" s="873">
        <f t="shared" si="46"/>
        <v>1982.5833333333333</v>
      </c>
      <c r="O168" s="843"/>
      <c r="P168" s="843"/>
      <c r="Q168" s="843"/>
      <c r="R168" s="843"/>
      <c r="S168" s="843"/>
      <c r="T168" s="843"/>
      <c r="U168" s="843"/>
      <c r="V168" s="843"/>
      <c r="W168" s="843"/>
      <c r="X168" s="843"/>
    </row>
  </sheetData>
  <mergeCells count="45">
    <mergeCell ref="A3:H3"/>
    <mergeCell ref="H54:J54"/>
    <mergeCell ref="H70:J70"/>
    <mergeCell ref="A33:A34"/>
    <mergeCell ref="B33:D33"/>
    <mergeCell ref="E33:G33"/>
    <mergeCell ref="A48:A49"/>
    <mergeCell ref="B49:D49"/>
    <mergeCell ref="E49:G49"/>
    <mergeCell ref="H33:J33"/>
    <mergeCell ref="H49:J49"/>
    <mergeCell ref="A54:A55"/>
    <mergeCell ref="B54:D54"/>
    <mergeCell ref="E54:G54"/>
    <mergeCell ref="A69:A70"/>
    <mergeCell ref="B70:D70"/>
    <mergeCell ref="A12:A13"/>
    <mergeCell ref="B12:D12"/>
    <mergeCell ref="E12:G12"/>
    <mergeCell ref="H12:J12"/>
    <mergeCell ref="A115:N115"/>
    <mergeCell ref="A27:A28"/>
    <mergeCell ref="B28:D28"/>
    <mergeCell ref="E28:G28"/>
    <mergeCell ref="H28:J28"/>
    <mergeCell ref="E70:G70"/>
    <mergeCell ref="A75:A76"/>
    <mergeCell ref="B75:D75"/>
    <mergeCell ref="E75:G75"/>
    <mergeCell ref="H75:J75"/>
    <mergeCell ref="A111:A112"/>
    <mergeCell ref="B112:D112"/>
    <mergeCell ref="A96:A97"/>
    <mergeCell ref="A90:A91"/>
    <mergeCell ref="B91:D91"/>
    <mergeCell ref="E91:G91"/>
    <mergeCell ref="H91:J91"/>
    <mergeCell ref="B96:D96"/>
    <mergeCell ref="E96:G96"/>
    <mergeCell ref="H96:J96"/>
    <mergeCell ref="E112:G112"/>
    <mergeCell ref="H112:J112"/>
    <mergeCell ref="K96:M96"/>
    <mergeCell ref="K112:M112"/>
    <mergeCell ref="B122:H122"/>
  </mergeCells>
  <phoneticPr fontId="171" type="noConversion"/>
  <pageMargins left="0.7" right="0.7" top="0.75" bottom="0.75" header="0.3" footer="0.3"/>
  <pageSetup orientation="portrait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U103"/>
  <sheetViews>
    <sheetView showGridLines="0" topLeftCell="A54" zoomScale="70" zoomScaleNormal="70" workbookViewId="0">
      <selection activeCell="A59" sqref="A59:L74"/>
    </sheetView>
  </sheetViews>
  <sheetFormatPr baseColWidth="10" defaultRowHeight="15"/>
  <cols>
    <col min="1" max="1" width="23.5703125" customWidth="1"/>
    <col min="2" max="12" width="17.28515625" customWidth="1"/>
    <col min="13" max="14" width="15.7109375" customWidth="1"/>
    <col min="15" max="15" width="16.28515625" customWidth="1"/>
    <col min="16" max="16" width="18" customWidth="1"/>
  </cols>
  <sheetData>
    <row r="1" spans="1:8" ht="15.75">
      <c r="A1" s="2072" t="s">
        <v>377</v>
      </c>
      <c r="B1" s="1890"/>
      <c r="C1" s="1890"/>
      <c r="D1" s="1890"/>
      <c r="E1" s="1890"/>
      <c r="F1" s="1890"/>
      <c r="G1" s="1890"/>
    </row>
    <row r="2" spans="1:8" ht="19.5" thickBot="1">
      <c r="A2" s="2080" t="s">
        <v>840</v>
      </c>
      <c r="B2" s="2080"/>
      <c r="C2" s="2080"/>
      <c r="D2" s="2080"/>
      <c r="E2" s="2080"/>
      <c r="F2" s="2080"/>
      <c r="G2" s="2080"/>
      <c r="H2" s="2080"/>
    </row>
    <row r="3" spans="1:8" ht="70.5" customHeight="1">
      <c r="A3" s="1554" t="s">
        <v>32</v>
      </c>
      <c r="B3" s="1555" t="s">
        <v>283</v>
      </c>
      <c r="C3" s="1555" t="s">
        <v>411</v>
      </c>
      <c r="D3" s="1555" t="s">
        <v>451</v>
      </c>
      <c r="E3" s="1555" t="s">
        <v>450</v>
      </c>
      <c r="F3" s="1555" t="s">
        <v>412</v>
      </c>
      <c r="G3" s="1555" t="s">
        <v>452</v>
      </c>
      <c r="H3" s="1556" t="s">
        <v>922</v>
      </c>
    </row>
    <row r="4" spans="1:8" ht="17.25" customHeight="1">
      <c r="A4" s="998" t="s">
        <v>247</v>
      </c>
      <c r="B4" s="1557">
        <v>902</v>
      </c>
      <c r="C4" s="1557">
        <v>784</v>
      </c>
      <c r="D4" s="1557">
        <v>15474</v>
      </c>
      <c r="E4" s="1557">
        <v>57</v>
      </c>
      <c r="F4" s="1557">
        <v>3147</v>
      </c>
      <c r="G4" s="1557">
        <v>2535</v>
      </c>
      <c r="H4" s="1558">
        <f>SUM(B4:G4)</f>
        <v>22899</v>
      </c>
    </row>
    <row r="5" spans="1:8" ht="17.25" customHeight="1">
      <c r="A5" s="999" t="s">
        <v>12</v>
      </c>
      <c r="B5" s="1559">
        <v>1461</v>
      </c>
      <c r="C5" s="1559">
        <v>37</v>
      </c>
      <c r="D5" s="1559">
        <v>31251</v>
      </c>
      <c r="E5" s="1559">
        <v>188</v>
      </c>
      <c r="F5" s="1559">
        <v>4550</v>
      </c>
      <c r="G5" s="1559">
        <v>3331</v>
      </c>
      <c r="H5" s="1560">
        <v>40818</v>
      </c>
    </row>
    <row r="6" spans="1:8" ht="17.25" customHeight="1">
      <c r="A6" s="998" t="s">
        <v>13</v>
      </c>
      <c r="B6" s="1557">
        <v>3273</v>
      </c>
      <c r="C6" s="1557">
        <v>311</v>
      </c>
      <c r="D6" s="1557">
        <v>31516</v>
      </c>
      <c r="E6" s="1557">
        <v>209</v>
      </c>
      <c r="F6" s="1557">
        <v>8144</v>
      </c>
      <c r="G6" s="1557">
        <v>4316</v>
      </c>
      <c r="H6" s="1558">
        <v>47769</v>
      </c>
    </row>
    <row r="7" spans="1:8" ht="17.25" customHeight="1">
      <c r="A7" s="1000" t="s">
        <v>53</v>
      </c>
      <c r="B7" s="1559">
        <v>2601</v>
      </c>
      <c r="C7" s="1559">
        <v>1693</v>
      </c>
      <c r="D7" s="1559">
        <v>116671</v>
      </c>
      <c r="E7" s="1559">
        <v>270</v>
      </c>
      <c r="F7" s="1559">
        <v>6474</v>
      </c>
      <c r="G7" s="1559">
        <v>4987</v>
      </c>
      <c r="H7" s="1560">
        <f t="shared" ref="H7:H15" si="0">SUM(B7:G7)</f>
        <v>132696</v>
      </c>
    </row>
    <row r="8" spans="1:8" ht="17.25" customHeight="1">
      <c r="A8" s="998" t="s">
        <v>243</v>
      </c>
      <c r="B8" s="1557">
        <v>2517</v>
      </c>
      <c r="C8" s="1557">
        <v>682</v>
      </c>
      <c r="D8" s="1557">
        <v>12255</v>
      </c>
      <c r="E8" s="1557">
        <v>103</v>
      </c>
      <c r="F8" s="1557">
        <v>6282</v>
      </c>
      <c r="G8" s="1557">
        <v>3684</v>
      </c>
      <c r="H8" s="1558">
        <f t="shared" si="0"/>
        <v>25523</v>
      </c>
    </row>
    <row r="9" spans="1:8" ht="17.25" customHeight="1">
      <c r="A9" s="999" t="s">
        <v>54</v>
      </c>
      <c r="B9" s="1559">
        <v>2518</v>
      </c>
      <c r="C9" s="1559">
        <v>1360</v>
      </c>
      <c r="D9" s="1559">
        <v>25862</v>
      </c>
      <c r="E9" s="1559">
        <v>17</v>
      </c>
      <c r="F9" s="1559">
        <v>5647</v>
      </c>
      <c r="G9" s="1559">
        <v>4839</v>
      </c>
      <c r="H9" s="1560">
        <f t="shared" si="0"/>
        <v>40243</v>
      </c>
    </row>
    <row r="10" spans="1:8" ht="17.25" customHeight="1">
      <c r="A10" s="998" t="s">
        <v>56</v>
      </c>
      <c r="B10" s="1557">
        <v>1440</v>
      </c>
      <c r="C10" s="1557">
        <v>459</v>
      </c>
      <c r="D10" s="1557">
        <v>21086</v>
      </c>
      <c r="E10" s="1557">
        <v>312</v>
      </c>
      <c r="F10" s="1557">
        <v>5454</v>
      </c>
      <c r="G10" s="1557">
        <v>3936</v>
      </c>
      <c r="H10" s="1558">
        <f t="shared" si="0"/>
        <v>32687</v>
      </c>
    </row>
    <row r="11" spans="1:8" ht="17.25" customHeight="1">
      <c r="A11" s="1000" t="s">
        <v>68</v>
      </c>
      <c r="B11" s="1559">
        <v>2837</v>
      </c>
      <c r="C11" s="1559">
        <v>529</v>
      </c>
      <c r="D11" s="1559">
        <v>98116</v>
      </c>
      <c r="E11" s="1559">
        <v>53</v>
      </c>
      <c r="F11" s="1559">
        <v>6180</v>
      </c>
      <c r="G11" s="1559">
        <v>4258</v>
      </c>
      <c r="H11" s="1560">
        <f t="shared" si="0"/>
        <v>111973</v>
      </c>
    </row>
    <row r="12" spans="1:8" ht="17.25" customHeight="1">
      <c r="A12" s="998" t="s">
        <v>69</v>
      </c>
      <c r="B12" s="1557">
        <v>2499</v>
      </c>
      <c r="C12" s="1557">
        <v>655</v>
      </c>
      <c r="D12" s="1557">
        <v>33634</v>
      </c>
      <c r="E12" s="1557">
        <v>300</v>
      </c>
      <c r="F12" s="1557">
        <v>7600</v>
      </c>
      <c r="G12" s="1557">
        <v>3708</v>
      </c>
      <c r="H12" s="1558">
        <f t="shared" si="0"/>
        <v>48396</v>
      </c>
    </row>
    <row r="13" spans="1:8" ht="17.25" customHeight="1">
      <c r="A13" s="1000" t="s">
        <v>248</v>
      </c>
      <c r="B13" s="1559">
        <v>3322</v>
      </c>
      <c r="C13" s="1559">
        <v>585</v>
      </c>
      <c r="D13" s="1559">
        <v>25144</v>
      </c>
      <c r="E13" s="1559">
        <v>351</v>
      </c>
      <c r="F13" s="1559">
        <v>7705</v>
      </c>
      <c r="G13" s="1559">
        <v>3508</v>
      </c>
      <c r="H13" s="1560">
        <f t="shared" si="0"/>
        <v>40615</v>
      </c>
    </row>
    <row r="14" spans="1:8" ht="17.25" customHeight="1">
      <c r="A14" s="998" t="s">
        <v>244</v>
      </c>
      <c r="B14" s="1557">
        <v>4761</v>
      </c>
      <c r="C14" s="1557">
        <v>543</v>
      </c>
      <c r="D14" s="1557">
        <v>23890</v>
      </c>
      <c r="E14" s="1557">
        <v>277</v>
      </c>
      <c r="F14" s="1557">
        <v>7828</v>
      </c>
      <c r="G14" s="1557">
        <v>3042</v>
      </c>
      <c r="H14" s="1558">
        <f t="shared" si="0"/>
        <v>40341</v>
      </c>
    </row>
    <row r="15" spans="1:8" ht="17.25" customHeight="1">
      <c r="A15" s="1000" t="s">
        <v>249</v>
      </c>
      <c r="B15" s="1559">
        <v>2088</v>
      </c>
      <c r="C15" s="1559">
        <v>517</v>
      </c>
      <c r="D15" s="1559">
        <v>137876</v>
      </c>
      <c r="E15" s="1559">
        <v>150</v>
      </c>
      <c r="F15" s="1559">
        <v>3927</v>
      </c>
      <c r="G15" s="1559">
        <v>4423</v>
      </c>
      <c r="H15" s="1560">
        <f t="shared" si="0"/>
        <v>148981</v>
      </c>
    </row>
    <row r="16" spans="1:8" s="690" customFormat="1" ht="21.75" customHeight="1">
      <c r="A16" s="997" t="s">
        <v>6</v>
      </c>
      <c r="B16" s="1561">
        <f>SUM(B4:B15)</f>
        <v>30219</v>
      </c>
      <c r="C16" s="1561">
        <f t="shared" ref="C16:H16" si="1">SUM(C4:C15)</f>
        <v>8155</v>
      </c>
      <c r="D16" s="1561">
        <f t="shared" si="1"/>
        <v>572775</v>
      </c>
      <c r="E16" s="1561">
        <f t="shared" si="1"/>
        <v>2287</v>
      </c>
      <c r="F16" s="1561">
        <f t="shared" si="1"/>
        <v>72938</v>
      </c>
      <c r="G16" s="1561">
        <f t="shared" si="1"/>
        <v>46567</v>
      </c>
      <c r="H16" s="1562">
        <f t="shared" si="1"/>
        <v>732941</v>
      </c>
    </row>
    <row r="17" spans="1:16" ht="21" customHeight="1">
      <c r="A17" s="2070" t="s">
        <v>449</v>
      </c>
      <c r="B17" s="1561">
        <f>AVERAGE(B4:B15)</f>
        <v>2518.25</v>
      </c>
      <c r="C17" s="1561">
        <f t="shared" ref="C17:H17" si="2">AVERAGE(C4:C15)</f>
        <v>679.58333333333337</v>
      </c>
      <c r="D17" s="1561">
        <f t="shared" si="2"/>
        <v>47731.25</v>
      </c>
      <c r="E17" s="1561">
        <f t="shared" si="2"/>
        <v>190.58333333333334</v>
      </c>
      <c r="F17" s="1561">
        <f t="shared" si="2"/>
        <v>6078.166666666667</v>
      </c>
      <c r="G17" s="1561">
        <f t="shared" si="2"/>
        <v>3880.5833333333335</v>
      </c>
      <c r="H17" s="1562">
        <f t="shared" si="2"/>
        <v>61078.416666666664</v>
      </c>
    </row>
    <row r="18" spans="1:16" ht="21" customHeight="1" thickBot="1">
      <c r="A18" s="2071"/>
      <c r="B18" s="1563">
        <f t="shared" ref="B18:H18" si="3">+B17/$H$17</f>
        <v>4.1229785207813452E-2</v>
      </c>
      <c r="C18" s="1563">
        <f t="shared" si="3"/>
        <v>1.1126407173292259E-2</v>
      </c>
      <c r="D18" s="1563">
        <f t="shared" si="3"/>
        <v>0.78147490725720081</v>
      </c>
      <c r="E18" s="1563">
        <f t="shared" si="3"/>
        <v>3.1203057272004161E-3</v>
      </c>
      <c r="F18" s="1563">
        <f t="shared" si="3"/>
        <v>9.951414916071008E-2</v>
      </c>
      <c r="G18" s="1563">
        <f t="shared" si="3"/>
        <v>6.3534445473783022E-2</v>
      </c>
      <c r="H18" s="1564">
        <f t="shared" si="3"/>
        <v>1</v>
      </c>
    </row>
    <row r="20" spans="1:16" ht="15.75">
      <c r="A20" s="1890" t="s">
        <v>687</v>
      </c>
      <c r="B20" s="1890"/>
      <c r="C20" s="1890"/>
      <c r="D20" s="1890"/>
      <c r="E20" s="1890"/>
      <c r="F20" s="1890"/>
      <c r="G20" s="1890"/>
      <c r="H20" s="1890"/>
      <c r="I20" s="1890"/>
      <c r="J20" s="1890"/>
      <c r="K20" s="1890"/>
      <c r="L20" s="1890"/>
      <c r="M20" s="1890"/>
    </row>
    <row r="21" spans="1:16" ht="15.75" thickBot="1"/>
    <row r="22" spans="1:16" s="68" customFormat="1" ht="26.25" customHeight="1">
      <c r="A22" s="2073" t="s">
        <v>32</v>
      </c>
      <c r="B22" s="2075" t="s">
        <v>46</v>
      </c>
      <c r="C22" s="2076"/>
      <c r="D22" s="2077"/>
      <c r="E22" s="2075" t="s">
        <v>47</v>
      </c>
      <c r="F22" s="2076"/>
      <c r="G22" s="2077"/>
      <c r="H22" s="2075" t="s">
        <v>48</v>
      </c>
      <c r="I22" s="2076"/>
      <c r="J22" s="2077"/>
      <c r="K22" s="2075" t="s">
        <v>6</v>
      </c>
      <c r="L22" s="2077"/>
      <c r="M22" s="2078" t="s">
        <v>284</v>
      </c>
      <c r="N22" s="2078" t="s">
        <v>686</v>
      </c>
      <c r="O22" s="2081" t="s">
        <v>685</v>
      </c>
    </row>
    <row r="23" spans="1:16" s="68" customFormat="1" ht="26.25" customHeight="1" thickBot="1">
      <c r="A23" s="2074"/>
      <c r="B23" s="1593" t="s">
        <v>812</v>
      </c>
      <c r="C23" s="1593" t="s">
        <v>811</v>
      </c>
      <c r="D23" s="1593" t="s">
        <v>274</v>
      </c>
      <c r="E23" s="1593" t="s">
        <v>812</v>
      </c>
      <c r="F23" s="1593" t="s">
        <v>811</v>
      </c>
      <c r="G23" s="1593" t="s">
        <v>274</v>
      </c>
      <c r="H23" s="1593" t="s">
        <v>812</v>
      </c>
      <c r="I23" s="1593" t="s">
        <v>811</v>
      </c>
      <c r="J23" s="1593" t="s">
        <v>274</v>
      </c>
      <c r="K23" s="1593" t="s">
        <v>812</v>
      </c>
      <c r="L23" s="1593" t="s">
        <v>811</v>
      </c>
      <c r="M23" s="2079"/>
      <c r="N23" s="2079"/>
      <c r="O23" s="2082"/>
      <c r="P23" s="690"/>
    </row>
    <row r="24" spans="1:16" s="200" customFormat="1" ht="22.5" customHeight="1">
      <c r="A24" s="1565" t="s">
        <v>247</v>
      </c>
      <c r="B24" s="1566">
        <v>42728</v>
      </c>
      <c r="C24" s="1566">
        <v>2441</v>
      </c>
      <c r="D24" s="1566">
        <v>45169</v>
      </c>
      <c r="E24" s="1566">
        <v>38939</v>
      </c>
      <c r="F24" s="1566">
        <v>3735</v>
      </c>
      <c r="G24" s="1566">
        <v>42674</v>
      </c>
      <c r="H24" s="1566">
        <v>1729</v>
      </c>
      <c r="I24" s="1566">
        <v>153</v>
      </c>
      <c r="J24" s="1566">
        <v>1882</v>
      </c>
      <c r="K24" s="1566">
        <v>83396</v>
      </c>
      <c r="L24" s="1566">
        <v>6329</v>
      </c>
      <c r="M24" s="1566">
        <v>89725</v>
      </c>
      <c r="N24" s="1566">
        <f>+'TABLAREGIONALES '!M233</f>
        <v>96775</v>
      </c>
      <c r="O24" s="1567">
        <f>+M24/N24</f>
        <v>0.92715060707827435</v>
      </c>
      <c r="P24" s="690"/>
    </row>
    <row r="25" spans="1:16" s="200" customFormat="1" ht="22.5" customHeight="1">
      <c r="A25" s="1568" t="s">
        <v>12</v>
      </c>
      <c r="B25" s="1569">
        <v>42949</v>
      </c>
      <c r="C25" s="1569">
        <v>2503</v>
      </c>
      <c r="D25" s="1569">
        <v>45452</v>
      </c>
      <c r="E25" s="1569">
        <v>39105</v>
      </c>
      <c r="F25" s="1569">
        <v>3797</v>
      </c>
      <c r="G25" s="1569">
        <v>42902</v>
      </c>
      <c r="H25" s="1569">
        <v>1766</v>
      </c>
      <c r="I25" s="1569">
        <v>164</v>
      </c>
      <c r="J25" s="1569">
        <v>1930</v>
      </c>
      <c r="K25" s="1569">
        <v>83820</v>
      </c>
      <c r="L25" s="1569">
        <v>6464</v>
      </c>
      <c r="M25" s="1569">
        <v>90284</v>
      </c>
      <c r="N25" s="1569">
        <f>+'TABLAREGIONALES '!M234</f>
        <v>97035</v>
      </c>
      <c r="O25" s="1570">
        <f t="shared" ref="O25:O35" si="4">+M25/N25</f>
        <v>0.93042716545576343</v>
      </c>
      <c r="P25" s="690"/>
    </row>
    <row r="26" spans="1:16" s="200" customFormat="1" ht="22.5" customHeight="1">
      <c r="A26" s="1571" t="s">
        <v>13</v>
      </c>
      <c r="B26" s="1572">
        <v>42844</v>
      </c>
      <c r="C26" s="1572">
        <v>2485</v>
      </c>
      <c r="D26" s="1572">
        <v>45329</v>
      </c>
      <c r="E26" s="1572">
        <v>38957</v>
      </c>
      <c r="F26" s="1572">
        <v>3765</v>
      </c>
      <c r="G26" s="1572">
        <v>42722</v>
      </c>
      <c r="H26" s="1572">
        <v>1782</v>
      </c>
      <c r="I26" s="1572">
        <v>162</v>
      </c>
      <c r="J26" s="1572">
        <v>1944</v>
      </c>
      <c r="K26" s="1572">
        <v>83583</v>
      </c>
      <c r="L26" s="1572">
        <v>6412</v>
      </c>
      <c r="M26" s="1572">
        <v>89995</v>
      </c>
      <c r="N26" s="1572">
        <f>+'TABLAREGIONALES '!M235</f>
        <v>97409</v>
      </c>
      <c r="O26" s="1573">
        <f t="shared" si="4"/>
        <v>0.92388793643297851</v>
      </c>
      <c r="P26" s="690"/>
    </row>
    <row r="27" spans="1:16" s="200" customFormat="1" ht="22.5" customHeight="1">
      <c r="A27" s="1568" t="s">
        <v>53</v>
      </c>
      <c r="B27" s="1569">
        <v>42971</v>
      </c>
      <c r="C27" s="1569">
        <v>2438</v>
      </c>
      <c r="D27" s="1569">
        <v>45409</v>
      </c>
      <c r="E27" s="1569">
        <v>39267</v>
      </c>
      <c r="F27" s="1569">
        <v>3779</v>
      </c>
      <c r="G27" s="1569">
        <v>43046</v>
      </c>
      <c r="H27" s="1569">
        <v>1804</v>
      </c>
      <c r="I27" s="1569">
        <v>155</v>
      </c>
      <c r="J27" s="1569">
        <v>1959</v>
      </c>
      <c r="K27" s="1569">
        <v>84042</v>
      </c>
      <c r="L27" s="1569">
        <v>6372</v>
      </c>
      <c r="M27" s="1569">
        <v>90414</v>
      </c>
      <c r="N27" s="1569">
        <f>+'TABLAREGIONALES '!M236</f>
        <v>97171</v>
      </c>
      <c r="O27" s="1570">
        <f t="shared" si="4"/>
        <v>0.93046279239690854</v>
      </c>
      <c r="P27" s="690"/>
    </row>
    <row r="28" spans="1:16" s="200" customFormat="1" ht="22.5" customHeight="1">
      <c r="A28" s="1571" t="s">
        <v>243</v>
      </c>
      <c r="B28" s="1572">
        <v>43205</v>
      </c>
      <c r="C28" s="1572">
        <v>2406</v>
      </c>
      <c r="D28" s="1572">
        <v>45611</v>
      </c>
      <c r="E28" s="1572">
        <v>39303</v>
      </c>
      <c r="F28" s="1572">
        <v>3795</v>
      </c>
      <c r="G28" s="1572">
        <v>43098</v>
      </c>
      <c r="H28" s="1572">
        <v>1789</v>
      </c>
      <c r="I28" s="1572">
        <v>162</v>
      </c>
      <c r="J28" s="1572">
        <v>1951</v>
      </c>
      <c r="K28" s="1572">
        <v>84297</v>
      </c>
      <c r="L28" s="1572">
        <v>6363</v>
      </c>
      <c r="M28" s="1572">
        <v>90660</v>
      </c>
      <c r="N28" s="1572">
        <f>+'TABLAREGIONALES '!M237</f>
        <v>96589</v>
      </c>
      <c r="O28" s="1573">
        <f t="shared" si="4"/>
        <v>0.93861619853192391</v>
      </c>
      <c r="P28" s="690"/>
    </row>
    <row r="29" spans="1:16" s="200" customFormat="1" ht="22.5" customHeight="1">
      <c r="A29" s="1574" t="s">
        <v>54</v>
      </c>
      <c r="B29" s="1569">
        <v>43138</v>
      </c>
      <c r="C29" s="1569">
        <v>2584</v>
      </c>
      <c r="D29" s="1569">
        <v>45722</v>
      </c>
      <c r="E29" s="1569">
        <v>38636</v>
      </c>
      <c r="F29" s="1569">
        <v>3562</v>
      </c>
      <c r="G29" s="1569">
        <v>42198</v>
      </c>
      <c r="H29" s="1569">
        <v>1794</v>
      </c>
      <c r="I29" s="1569">
        <v>164</v>
      </c>
      <c r="J29" s="1569">
        <v>1958</v>
      </c>
      <c r="K29" s="1569">
        <v>83568</v>
      </c>
      <c r="L29" s="1569">
        <v>6310</v>
      </c>
      <c r="M29" s="1569">
        <v>89878</v>
      </c>
      <c r="N29" s="1569">
        <f>+'TABLAREGIONALES '!M238</f>
        <v>96400</v>
      </c>
      <c r="O29" s="1570">
        <f t="shared" si="4"/>
        <v>0.93234439834024896</v>
      </c>
      <c r="P29" s="690"/>
    </row>
    <row r="30" spans="1:16" s="200" customFormat="1" ht="22.5" customHeight="1">
      <c r="A30" s="1575" t="s">
        <v>56</v>
      </c>
      <c r="B30" s="1576">
        <v>42716</v>
      </c>
      <c r="C30" s="1576">
        <v>2218</v>
      </c>
      <c r="D30" s="1576">
        <v>44934</v>
      </c>
      <c r="E30" s="1576">
        <v>36575</v>
      </c>
      <c r="F30" s="1576">
        <v>2726</v>
      </c>
      <c r="G30" s="1576">
        <v>39301</v>
      </c>
      <c r="H30" s="1576">
        <v>1752</v>
      </c>
      <c r="I30" s="1576">
        <v>148</v>
      </c>
      <c r="J30" s="1576">
        <v>1900</v>
      </c>
      <c r="K30" s="1576">
        <v>81043</v>
      </c>
      <c r="L30" s="1576">
        <v>5092</v>
      </c>
      <c r="M30" s="1576">
        <v>86135</v>
      </c>
      <c r="N30" s="1576">
        <f>+'TABLAREGIONALES '!M239</f>
        <v>96386</v>
      </c>
      <c r="O30" s="1577">
        <f t="shared" si="4"/>
        <v>0.89364638017969411</v>
      </c>
      <c r="P30" s="690"/>
    </row>
    <row r="31" spans="1:16" s="200" customFormat="1" ht="22.5" customHeight="1">
      <c r="A31" s="1578" t="s">
        <v>68</v>
      </c>
      <c r="B31" s="1579">
        <v>43250</v>
      </c>
      <c r="C31" s="1579">
        <v>2553</v>
      </c>
      <c r="D31" s="1579">
        <v>45803</v>
      </c>
      <c r="E31" s="1579">
        <v>38392</v>
      </c>
      <c r="F31" s="1579">
        <v>3418</v>
      </c>
      <c r="G31" s="1579">
        <v>41810</v>
      </c>
      <c r="H31" s="1579">
        <v>1792</v>
      </c>
      <c r="I31" s="1579">
        <v>162</v>
      </c>
      <c r="J31" s="1579">
        <v>1954</v>
      </c>
      <c r="K31" s="1579">
        <v>83434</v>
      </c>
      <c r="L31" s="1579">
        <v>6133</v>
      </c>
      <c r="M31" s="1579">
        <v>89567</v>
      </c>
      <c r="N31" s="1579">
        <f>+'TABLAREGIONALES '!M240</f>
        <v>96385</v>
      </c>
      <c r="O31" s="1580">
        <f t="shared" si="4"/>
        <v>0.92926285210354309</v>
      </c>
      <c r="P31" s="690"/>
    </row>
    <row r="32" spans="1:16" s="200" customFormat="1" ht="22.5" customHeight="1">
      <c r="A32" s="1581" t="s">
        <v>69</v>
      </c>
      <c r="B32" s="1582">
        <v>42112</v>
      </c>
      <c r="C32" s="1582">
        <v>2445</v>
      </c>
      <c r="D32" s="1582">
        <v>44557</v>
      </c>
      <c r="E32" s="1582">
        <v>35524</v>
      </c>
      <c r="F32" s="1582">
        <v>2575</v>
      </c>
      <c r="G32" s="1582">
        <v>38099</v>
      </c>
      <c r="H32" s="1582">
        <v>1684</v>
      </c>
      <c r="I32" s="1582">
        <v>140</v>
      </c>
      <c r="J32" s="1582">
        <v>1824</v>
      </c>
      <c r="K32" s="1582">
        <v>79320</v>
      </c>
      <c r="L32" s="1582">
        <v>5160</v>
      </c>
      <c r="M32" s="1582">
        <v>84480</v>
      </c>
      <c r="N32" s="1582">
        <f>+'TABLAREGIONALES '!M241</f>
        <v>96819</v>
      </c>
      <c r="O32" s="1583">
        <f t="shared" si="4"/>
        <v>0.8725560065689586</v>
      </c>
      <c r="P32" s="690"/>
    </row>
    <row r="33" spans="1:16" s="200" customFormat="1" ht="22.5" customHeight="1">
      <c r="A33" s="1568" t="s">
        <v>248</v>
      </c>
      <c r="B33" s="1569">
        <v>43534</v>
      </c>
      <c r="C33" s="1569">
        <v>2552</v>
      </c>
      <c r="D33" s="1569">
        <v>46086</v>
      </c>
      <c r="E33" s="1569">
        <v>37109</v>
      </c>
      <c r="F33" s="1569">
        <v>3270</v>
      </c>
      <c r="G33" s="1569">
        <v>40379</v>
      </c>
      <c r="H33" s="1569">
        <v>1762</v>
      </c>
      <c r="I33" s="1569">
        <v>158</v>
      </c>
      <c r="J33" s="1569">
        <v>1920</v>
      </c>
      <c r="K33" s="1569">
        <v>82405</v>
      </c>
      <c r="L33" s="1569">
        <v>5980</v>
      </c>
      <c r="M33" s="1569">
        <v>88385</v>
      </c>
      <c r="N33" s="1569">
        <f>+'TABLAREGIONALES '!M242</f>
        <v>96898</v>
      </c>
      <c r="O33" s="1570">
        <f t="shared" si="4"/>
        <v>0.91214472950938097</v>
      </c>
      <c r="P33" s="690"/>
    </row>
    <row r="34" spans="1:16" s="200" customFormat="1" ht="22.5" customHeight="1">
      <c r="A34" s="1571" t="s">
        <v>244</v>
      </c>
      <c r="B34" s="1572">
        <v>43763</v>
      </c>
      <c r="C34" s="1572">
        <v>2606</v>
      </c>
      <c r="D34" s="1572">
        <v>46369</v>
      </c>
      <c r="E34" s="1572">
        <v>38320</v>
      </c>
      <c r="F34" s="1572">
        <v>3395</v>
      </c>
      <c r="G34" s="1572">
        <v>41715</v>
      </c>
      <c r="H34" s="1572">
        <v>1712</v>
      </c>
      <c r="I34" s="1572">
        <v>161</v>
      </c>
      <c r="J34" s="1572">
        <v>1873</v>
      </c>
      <c r="K34" s="1572">
        <v>83795</v>
      </c>
      <c r="L34" s="1572">
        <v>6162</v>
      </c>
      <c r="M34" s="1572">
        <v>89957</v>
      </c>
      <c r="N34" s="1572">
        <f>+'TABLAREGIONALES '!M243</f>
        <v>97270</v>
      </c>
      <c r="O34" s="1573">
        <f t="shared" si="4"/>
        <v>0.92481751824817515</v>
      </c>
      <c r="P34" s="690"/>
    </row>
    <row r="35" spans="1:16" s="200" customFormat="1" ht="22.5" customHeight="1" thickBot="1">
      <c r="A35" s="1584" t="s">
        <v>249</v>
      </c>
      <c r="B35" s="1585">
        <v>41633</v>
      </c>
      <c r="C35" s="1585">
        <v>2086</v>
      </c>
      <c r="D35" s="1585">
        <v>43719</v>
      </c>
      <c r="E35" s="1585">
        <v>33952</v>
      </c>
      <c r="F35" s="1585">
        <v>1783</v>
      </c>
      <c r="G35" s="1585">
        <v>35735</v>
      </c>
      <c r="H35" s="1585">
        <v>1638</v>
      </c>
      <c r="I35" s="1585">
        <v>120</v>
      </c>
      <c r="J35" s="1585">
        <v>1758</v>
      </c>
      <c r="K35" s="1585">
        <v>77223</v>
      </c>
      <c r="L35" s="1585">
        <v>3989</v>
      </c>
      <c r="M35" s="1585">
        <v>81212</v>
      </c>
      <c r="N35" s="1585">
        <f>+'TABLAREGIONALES '!M244</f>
        <v>96913</v>
      </c>
      <c r="O35" s="1586">
        <f t="shared" si="4"/>
        <v>0.83798871152476961</v>
      </c>
      <c r="P35" s="690"/>
    </row>
    <row r="36" spans="1:16" s="200" customFormat="1" ht="22.5" customHeight="1">
      <c r="A36" s="1587" t="s">
        <v>250</v>
      </c>
      <c r="B36" s="1588">
        <f>AVERAGE(B24:B35)</f>
        <v>42903.583333333336</v>
      </c>
      <c r="C36" s="1588">
        <f t="shared" ref="C36:M36" si="5">AVERAGE(C24:C35)</f>
        <v>2443.0833333333335</v>
      </c>
      <c r="D36" s="1588">
        <f t="shared" si="5"/>
        <v>45346.666666666664</v>
      </c>
      <c r="E36" s="1588">
        <f t="shared" si="5"/>
        <v>37839.916666666664</v>
      </c>
      <c r="F36" s="1588">
        <f t="shared" si="5"/>
        <v>3300</v>
      </c>
      <c r="G36" s="1588">
        <f t="shared" si="5"/>
        <v>41139.916666666664</v>
      </c>
      <c r="H36" s="1588">
        <f t="shared" si="5"/>
        <v>1750.3333333333333</v>
      </c>
      <c r="I36" s="1588">
        <f t="shared" si="5"/>
        <v>154.08333333333334</v>
      </c>
      <c r="J36" s="1588">
        <f t="shared" si="5"/>
        <v>1904.4166666666667</v>
      </c>
      <c r="K36" s="1588">
        <f t="shared" si="5"/>
        <v>82493.833333333328</v>
      </c>
      <c r="L36" s="1588">
        <f t="shared" si="5"/>
        <v>5897.166666666667</v>
      </c>
      <c r="M36" s="1588">
        <f t="shared" si="5"/>
        <v>88391</v>
      </c>
      <c r="N36" s="1588">
        <f>AVERAGE(N24:N35)</f>
        <v>96837.5</v>
      </c>
      <c r="O36" s="1589">
        <f>AVERAGE(O24:O35)</f>
        <v>0.91277544136421829</v>
      </c>
      <c r="P36" s="690"/>
    </row>
    <row r="37" spans="1:16" s="200" customFormat="1" ht="22.5" customHeight="1">
      <c r="A37" s="2092" t="s">
        <v>22</v>
      </c>
      <c r="B37" s="1590">
        <f>+B36/$D$36</f>
        <v>0.94612430167597772</v>
      </c>
      <c r="C37" s="1590">
        <f>+C36/$D$36</f>
        <v>5.387569832402235E-2</v>
      </c>
      <c r="D37" s="1590">
        <f>SUM(B37:C37)</f>
        <v>1</v>
      </c>
      <c r="E37" s="1590">
        <f>+E36/$G$36</f>
        <v>0.9197859337747808</v>
      </c>
      <c r="F37" s="1590">
        <f>+F36/$G$36</f>
        <v>8.0214066225219233E-2</v>
      </c>
      <c r="G37" s="1590">
        <v>1</v>
      </c>
      <c r="H37" s="1590">
        <f>+H36/$J$36</f>
        <v>0.91909158534984459</v>
      </c>
      <c r="I37" s="1590">
        <f>+I36/J36</f>
        <v>8.0908414650155344E-2</v>
      </c>
      <c r="J37" s="1590">
        <f>SUM(H37:I37)</f>
        <v>0.99999999999999989</v>
      </c>
      <c r="K37" s="1590">
        <f>+K36/$M$36</f>
        <v>0.93328317739739708</v>
      </c>
      <c r="L37" s="1590">
        <f>+L36/$M$36</f>
        <v>6.6716822602602838E-2</v>
      </c>
      <c r="M37" s="1590">
        <f>SUM(K37:L37)</f>
        <v>0.99999999999999989</v>
      </c>
      <c r="N37" s="1591"/>
      <c r="O37" s="1592"/>
      <c r="P37" s="690"/>
    </row>
    <row r="38" spans="1:16" s="200" customFormat="1" ht="22.5" customHeight="1" thickBot="1">
      <c r="A38" s="2093"/>
      <c r="B38" s="2094">
        <f>+D36/$M$36</f>
        <v>0.51302357328989001</v>
      </c>
      <c r="C38" s="2094"/>
      <c r="D38" s="2094"/>
      <c r="E38" s="2094">
        <f>+G36/$M$36</f>
        <v>0.46543105821482578</v>
      </c>
      <c r="F38" s="2094"/>
      <c r="G38" s="2094"/>
      <c r="H38" s="2094">
        <f>+J36/$M$36</f>
        <v>2.1545368495284212E-2</v>
      </c>
      <c r="I38" s="2094"/>
      <c r="J38" s="2094"/>
      <c r="K38" s="2095">
        <f>SUM(B38:J38)</f>
        <v>1</v>
      </c>
      <c r="L38" s="2096"/>
      <c r="M38" s="2097"/>
      <c r="N38" s="1591"/>
      <c r="O38" s="1591"/>
    </row>
    <row r="40" spans="1:16" s="690" customFormat="1" ht="15.75">
      <c r="A40" s="1890" t="s">
        <v>841</v>
      </c>
      <c r="B40" s="1890"/>
      <c r="C40" s="1890"/>
      <c r="D40" s="1890"/>
      <c r="E40" s="1890"/>
      <c r="F40" s="1890"/>
      <c r="G40" s="1890"/>
      <c r="H40" s="1890"/>
      <c r="I40" s="1890"/>
      <c r="J40" s="1890"/>
      <c r="K40" s="1890"/>
      <c r="L40" s="1890"/>
      <c r="M40" s="1890"/>
    </row>
    <row r="41" spans="1:16" s="690" customFormat="1" ht="15.75" thickBot="1"/>
    <row r="42" spans="1:16" s="68" customFormat="1" ht="26.25" customHeight="1">
      <c r="A42" s="2101" t="s">
        <v>32</v>
      </c>
      <c r="B42" s="2067" t="s">
        <v>46</v>
      </c>
      <c r="C42" s="2068"/>
      <c r="D42" s="2069"/>
      <c r="E42" s="2067" t="s">
        <v>47</v>
      </c>
      <c r="F42" s="2068"/>
      <c r="G42" s="2069"/>
      <c r="H42" s="2067" t="s">
        <v>48</v>
      </c>
      <c r="I42" s="2068"/>
      <c r="J42" s="2069"/>
      <c r="K42" s="2067" t="s">
        <v>6</v>
      </c>
      <c r="L42" s="2069"/>
      <c r="M42" s="2059" t="s">
        <v>284</v>
      </c>
      <c r="N42" s="2059" t="s">
        <v>686</v>
      </c>
      <c r="O42" s="2057" t="s">
        <v>685</v>
      </c>
      <c r="P42" s="690"/>
    </row>
    <row r="43" spans="1:16" s="68" customFormat="1" ht="26.25" customHeight="1" thickBot="1">
      <c r="A43" s="2102"/>
      <c r="B43" s="622" t="s">
        <v>44</v>
      </c>
      <c r="C43" s="622" t="s">
        <v>45</v>
      </c>
      <c r="D43" s="622" t="s">
        <v>274</v>
      </c>
      <c r="E43" s="622" t="s">
        <v>44</v>
      </c>
      <c r="F43" s="622" t="s">
        <v>45</v>
      </c>
      <c r="G43" s="622" t="s">
        <v>274</v>
      </c>
      <c r="H43" s="622" t="s">
        <v>44</v>
      </c>
      <c r="I43" s="622" t="s">
        <v>45</v>
      </c>
      <c r="J43" s="622" t="s">
        <v>274</v>
      </c>
      <c r="K43" s="622" t="s">
        <v>44</v>
      </c>
      <c r="L43" s="622" t="s">
        <v>45</v>
      </c>
      <c r="M43" s="2060"/>
      <c r="N43" s="2060"/>
      <c r="O43" s="2058"/>
      <c r="P43" s="690"/>
    </row>
    <row r="44" spans="1:16" s="996" customFormat="1" ht="21.75" customHeight="1">
      <c r="A44" s="1002">
        <v>2017</v>
      </c>
      <c r="B44" s="627">
        <v>42373</v>
      </c>
      <c r="C44" s="627">
        <v>3193</v>
      </c>
      <c r="D44" s="627">
        <f>SUM(B44:C44)</f>
        <v>45566</v>
      </c>
      <c r="E44" s="627">
        <v>42179</v>
      </c>
      <c r="F44" s="627">
        <v>2968</v>
      </c>
      <c r="G44" s="627">
        <f>SUM(E44:F44)</f>
        <v>45147</v>
      </c>
      <c r="H44" s="627">
        <v>1559</v>
      </c>
      <c r="I44" s="627">
        <v>152</v>
      </c>
      <c r="J44" s="627">
        <f>SUM(H44:I44)</f>
        <v>1711</v>
      </c>
      <c r="K44" s="627">
        <f t="shared" ref="K44:L48" si="6">+B44+E44+H44</f>
        <v>86111</v>
      </c>
      <c r="L44" s="627">
        <f t="shared" si="6"/>
        <v>6313</v>
      </c>
      <c r="M44" s="627">
        <f>+L44+K44</f>
        <v>92424</v>
      </c>
      <c r="N44" s="627">
        <v>114750</v>
      </c>
      <c r="O44" s="630">
        <f t="shared" ref="O44:O49" si="7">+M44/N44</f>
        <v>0.80543790849673202</v>
      </c>
      <c r="P44" s="690"/>
    </row>
    <row r="45" spans="1:16" s="996" customFormat="1" ht="21.75" customHeight="1">
      <c r="A45" s="1001">
        <v>2018</v>
      </c>
      <c r="B45" s="626">
        <v>43073</v>
      </c>
      <c r="C45" s="626">
        <v>2815</v>
      </c>
      <c r="D45" s="626">
        <f>SUM(B45:C45)</f>
        <v>45888</v>
      </c>
      <c r="E45" s="626">
        <v>43812</v>
      </c>
      <c r="F45" s="626">
        <v>3351</v>
      </c>
      <c r="G45" s="626">
        <f>SUM(E45:F45)</f>
        <v>47163</v>
      </c>
      <c r="H45" s="626">
        <v>1698</v>
      </c>
      <c r="I45" s="626">
        <v>153</v>
      </c>
      <c r="J45" s="626">
        <f>SUM(H45:I45)</f>
        <v>1851</v>
      </c>
      <c r="K45" s="626">
        <f t="shared" si="6"/>
        <v>88583</v>
      </c>
      <c r="L45" s="626">
        <f t="shared" si="6"/>
        <v>6319</v>
      </c>
      <c r="M45" s="626">
        <f>+L45+K45</f>
        <v>94902</v>
      </c>
      <c r="N45" s="626">
        <v>118513</v>
      </c>
      <c r="O45" s="629">
        <f t="shared" si="7"/>
        <v>0.80077291098866787</v>
      </c>
      <c r="P45" s="690"/>
    </row>
    <row r="46" spans="1:16" s="996" customFormat="1" ht="21.75" customHeight="1">
      <c r="A46" s="1002">
        <v>2019</v>
      </c>
      <c r="B46" s="627">
        <v>47693</v>
      </c>
      <c r="C46" s="627">
        <v>3180</v>
      </c>
      <c r="D46" s="627">
        <f>SUM(B46:C46)</f>
        <v>50873</v>
      </c>
      <c r="E46" s="627">
        <v>45731</v>
      </c>
      <c r="F46" s="627">
        <v>3898</v>
      </c>
      <c r="G46" s="627">
        <f>SUM(E46:F46)</f>
        <v>49629</v>
      </c>
      <c r="H46" s="627">
        <v>1735</v>
      </c>
      <c r="I46" s="627">
        <v>150</v>
      </c>
      <c r="J46" s="627">
        <f>SUM(H46:I46)</f>
        <v>1885</v>
      </c>
      <c r="K46" s="627">
        <f t="shared" si="6"/>
        <v>95159</v>
      </c>
      <c r="L46" s="627">
        <f t="shared" si="6"/>
        <v>7228</v>
      </c>
      <c r="M46" s="627">
        <f>+L46+K46</f>
        <v>102387</v>
      </c>
      <c r="N46" s="627">
        <v>123802</v>
      </c>
      <c r="O46" s="630">
        <f t="shared" si="7"/>
        <v>0.82702218057866594</v>
      </c>
      <c r="P46" s="690"/>
    </row>
    <row r="47" spans="1:16" s="1296" customFormat="1" ht="21.75" customHeight="1">
      <c r="A47" s="1001">
        <v>2020</v>
      </c>
      <c r="B47" s="626">
        <v>43101</v>
      </c>
      <c r="C47" s="626">
        <v>2479</v>
      </c>
      <c r="D47" s="626">
        <f>SUM(B47:C47)</f>
        <v>45580</v>
      </c>
      <c r="E47" s="626">
        <v>39406</v>
      </c>
      <c r="F47" s="626">
        <v>3553</v>
      </c>
      <c r="G47" s="626">
        <f>SUM(E47:F47)</f>
        <v>42959</v>
      </c>
      <c r="H47" s="626">
        <v>1744</v>
      </c>
      <c r="I47" s="626">
        <v>156</v>
      </c>
      <c r="J47" s="626">
        <f>SUM(H47:I47)</f>
        <v>1900</v>
      </c>
      <c r="K47" s="626">
        <f t="shared" si="6"/>
        <v>84251</v>
      </c>
      <c r="L47" s="626">
        <f t="shared" si="6"/>
        <v>6188</v>
      </c>
      <c r="M47" s="626">
        <f>+L47+K47</f>
        <v>90439</v>
      </c>
      <c r="N47" s="626">
        <v>96285</v>
      </c>
      <c r="O47" s="629">
        <f>+M47/N47</f>
        <v>0.93928441605649893</v>
      </c>
      <c r="P47" s="1007"/>
    </row>
    <row r="48" spans="1:16" s="996" customFormat="1" ht="21.75" customHeight="1" thickBot="1">
      <c r="A48" s="1002" t="s">
        <v>784</v>
      </c>
      <c r="B48" s="627">
        <f>+B35</f>
        <v>41633</v>
      </c>
      <c r="C48" s="627">
        <f>+C35</f>
        <v>2086</v>
      </c>
      <c r="D48" s="627">
        <f>SUM(B48:C48)</f>
        <v>43719</v>
      </c>
      <c r="E48" s="627">
        <f>+E35</f>
        <v>33952</v>
      </c>
      <c r="F48" s="627">
        <f>+F35</f>
        <v>1783</v>
      </c>
      <c r="G48" s="627">
        <f>SUM(E48:F48)</f>
        <v>35735</v>
      </c>
      <c r="H48" s="627">
        <f>+H35</f>
        <v>1638</v>
      </c>
      <c r="I48" s="627">
        <f>+I35</f>
        <v>120</v>
      </c>
      <c r="J48" s="627">
        <f>SUM(H48:I48)</f>
        <v>1758</v>
      </c>
      <c r="K48" s="627">
        <f t="shared" si="6"/>
        <v>77223</v>
      </c>
      <c r="L48" s="627">
        <f t="shared" si="6"/>
        <v>3989</v>
      </c>
      <c r="M48" s="627">
        <f>+L48+K48</f>
        <v>81212</v>
      </c>
      <c r="N48" s="627">
        <f>+N35</f>
        <v>96913</v>
      </c>
      <c r="O48" s="630">
        <f>+M48/N48</f>
        <v>0.83798871152476961</v>
      </c>
      <c r="P48" s="690"/>
    </row>
    <row r="49" spans="1:21" s="996" customFormat="1" ht="22.5" customHeight="1">
      <c r="A49" s="623" t="s">
        <v>250</v>
      </c>
      <c r="B49" s="624">
        <f t="shared" ref="B49:N49" si="8">AVERAGE(B44:B48)</f>
        <v>43574.6</v>
      </c>
      <c r="C49" s="624">
        <f t="shared" si="8"/>
        <v>2750.6</v>
      </c>
      <c r="D49" s="624">
        <f t="shared" si="8"/>
        <v>46325.2</v>
      </c>
      <c r="E49" s="624">
        <f t="shared" si="8"/>
        <v>41016</v>
      </c>
      <c r="F49" s="624">
        <f t="shared" si="8"/>
        <v>3110.6</v>
      </c>
      <c r="G49" s="624">
        <f t="shared" si="8"/>
        <v>44126.6</v>
      </c>
      <c r="H49" s="624">
        <f t="shared" si="8"/>
        <v>1674.8</v>
      </c>
      <c r="I49" s="624">
        <f t="shared" si="8"/>
        <v>146.19999999999999</v>
      </c>
      <c r="J49" s="624">
        <f t="shared" si="8"/>
        <v>1821</v>
      </c>
      <c r="K49" s="624">
        <f t="shared" si="8"/>
        <v>86265.4</v>
      </c>
      <c r="L49" s="624">
        <f t="shared" si="8"/>
        <v>6007.4</v>
      </c>
      <c r="M49" s="624">
        <f t="shared" si="8"/>
        <v>92272.8</v>
      </c>
      <c r="N49" s="1004">
        <f t="shared" si="8"/>
        <v>110052.6</v>
      </c>
      <c r="O49" s="631">
        <f t="shared" si="7"/>
        <v>0.83844270830493783</v>
      </c>
      <c r="P49" s="690"/>
    </row>
    <row r="50" spans="1:21" s="996" customFormat="1" ht="22.5" customHeight="1">
      <c r="A50" s="2061" t="s">
        <v>600</v>
      </c>
      <c r="B50" s="625">
        <f>+B49/$D$49</f>
        <v>0.94062410955592213</v>
      </c>
      <c r="C50" s="625">
        <f>+C49/$D$49</f>
        <v>5.9375890444077956E-2</v>
      </c>
      <c r="D50" s="625">
        <f>SUM(B50:C50)</f>
        <v>1</v>
      </c>
      <c r="E50" s="625">
        <f>+E49/G49</f>
        <v>0.92950737197064814</v>
      </c>
      <c r="F50" s="625">
        <f>+F49/G49</f>
        <v>7.0492628029351911E-2</v>
      </c>
      <c r="G50" s="625">
        <v>1</v>
      </c>
      <c r="H50" s="625">
        <f>+H49/J49</f>
        <v>0.9197144426139483</v>
      </c>
      <c r="I50" s="625">
        <f>+I49/J49</f>
        <v>8.0285557386051615E-2</v>
      </c>
      <c r="J50" s="625">
        <f>SUM(H50:I50)</f>
        <v>0.99999999999999989</v>
      </c>
      <c r="K50" s="625">
        <f>+K49/M49</f>
        <v>0.93489522372790235</v>
      </c>
      <c r="L50" s="625">
        <f>+L49/M49</f>
        <v>6.5104776272097514E-2</v>
      </c>
      <c r="M50" s="625">
        <f>SUM(K50:L50)</f>
        <v>0.99999999999999989</v>
      </c>
      <c r="N50" s="1005"/>
      <c r="O50" s="632"/>
      <c r="P50" s="690"/>
    </row>
    <row r="51" spans="1:21" s="996" customFormat="1" ht="22.5" customHeight="1" thickBot="1">
      <c r="A51" s="2062"/>
      <c r="B51" s="2063">
        <f>+D49/M49</f>
        <v>0.50204610676168926</v>
      </c>
      <c r="C51" s="2063"/>
      <c r="D51" s="2063"/>
      <c r="E51" s="2063">
        <f>+G49/M49</f>
        <v>0.47821893342350069</v>
      </c>
      <c r="F51" s="2063"/>
      <c r="G51" s="2063"/>
      <c r="H51" s="2063">
        <f>+J49/M49</f>
        <v>1.9734959814809997E-2</v>
      </c>
      <c r="I51" s="2063"/>
      <c r="J51" s="2063"/>
      <c r="K51" s="2064">
        <f>SUM(B51:J51)</f>
        <v>1</v>
      </c>
      <c r="L51" s="2065"/>
      <c r="M51" s="2066"/>
      <c r="N51" s="1006"/>
      <c r="O51" s="633"/>
    </row>
    <row r="52" spans="1:21" s="690" customFormat="1">
      <c r="C52"/>
    </row>
    <row r="53" spans="1:21" s="1007" customFormat="1"/>
    <row r="54" spans="1:21" s="1007" customFormat="1" ht="17.25" customHeight="1">
      <c r="B54" s="1308">
        <f>+M44</f>
        <v>92424</v>
      </c>
      <c r="C54" s="1310">
        <f>+M45</f>
        <v>94902</v>
      </c>
      <c r="D54" s="1310">
        <f>+M46</f>
        <v>102387</v>
      </c>
      <c r="E54" s="1310">
        <f>+M47</f>
        <v>90439</v>
      </c>
      <c r="F54" s="1311">
        <f>+M48</f>
        <v>81212</v>
      </c>
    </row>
    <row r="55" spans="1:21" s="690" customFormat="1" ht="17.25" customHeight="1">
      <c r="B55" s="1309">
        <f>+O44</f>
        <v>0.80543790849673202</v>
      </c>
      <c r="C55" s="1312">
        <f>+O45</f>
        <v>0.80077291098866787</v>
      </c>
      <c r="D55" s="1312">
        <f>+O46</f>
        <v>0.82702218057866594</v>
      </c>
      <c r="E55" s="1312">
        <f>+O47</f>
        <v>0.93928441605649893</v>
      </c>
      <c r="F55" s="1313">
        <f>+O48</f>
        <v>0.83798871152476961</v>
      </c>
    </row>
    <row r="56" spans="1:21" ht="15.75" customHeight="1">
      <c r="A56" s="700"/>
    </row>
    <row r="57" spans="1:21" ht="18.75">
      <c r="A57" s="2085" t="s">
        <v>944</v>
      </c>
      <c r="B57" s="2085"/>
      <c r="C57" s="2085"/>
      <c r="D57" s="2085"/>
      <c r="E57" s="2085"/>
      <c r="F57" s="2085"/>
      <c r="G57" s="2085"/>
      <c r="H57" s="2085"/>
    </row>
    <row r="58" spans="1:21" ht="15.75" thickBot="1"/>
    <row r="59" spans="1:21" s="16" customFormat="1" ht="34.5" customHeight="1">
      <c r="A59" s="2086" t="s">
        <v>32</v>
      </c>
      <c r="B59" s="2088" t="s">
        <v>690</v>
      </c>
      <c r="C59" s="2098" t="s">
        <v>409</v>
      </c>
      <c r="D59" s="2098"/>
      <c r="E59" s="2098"/>
      <c r="F59" s="2098" t="s">
        <v>410</v>
      </c>
      <c r="G59" s="2098"/>
      <c r="H59" s="2098"/>
      <c r="I59" s="2098"/>
      <c r="J59" s="2098"/>
      <c r="K59" s="2099" t="s">
        <v>689</v>
      </c>
      <c r="L59" s="2090" t="s">
        <v>924</v>
      </c>
    </row>
    <row r="60" spans="1:21" s="16" customFormat="1" ht="34.5" customHeight="1">
      <c r="A60" s="2087"/>
      <c r="B60" s="2089"/>
      <c r="C60" s="1612" t="s">
        <v>298</v>
      </c>
      <c r="D60" s="1612" t="s">
        <v>288</v>
      </c>
      <c r="E60" s="1612" t="s">
        <v>414</v>
      </c>
      <c r="F60" s="1612" t="s">
        <v>285</v>
      </c>
      <c r="G60" s="1612" t="s">
        <v>286</v>
      </c>
      <c r="H60" s="1612" t="s">
        <v>287</v>
      </c>
      <c r="I60" s="1612" t="s">
        <v>923</v>
      </c>
      <c r="J60" s="1612" t="s">
        <v>413</v>
      </c>
      <c r="K60" s="2100"/>
      <c r="L60" s="2091"/>
    </row>
    <row r="61" spans="1:21" s="16" customFormat="1" ht="20.25">
      <c r="A61" s="637" t="s">
        <v>247</v>
      </c>
      <c r="B61" s="1600">
        <f>+'TABLA JURIDICA'!H7</f>
        <v>73360</v>
      </c>
      <c r="C61" s="1600">
        <v>581</v>
      </c>
      <c r="D61" s="1600">
        <f>11054-44-507</f>
        <v>10503</v>
      </c>
      <c r="E61" s="1600">
        <f>SUM(C61:D61)</f>
        <v>11084</v>
      </c>
      <c r="F61" s="1600">
        <v>39923</v>
      </c>
      <c r="G61" s="1600">
        <v>15519</v>
      </c>
      <c r="H61" s="1600">
        <v>5072</v>
      </c>
      <c r="I61" s="1600">
        <v>1762</v>
      </c>
      <c r="J61" s="1600">
        <f>SUM(F61:I61)</f>
        <v>62276</v>
      </c>
      <c r="K61" s="1600">
        <f>+J61+D61</f>
        <v>72779</v>
      </c>
      <c r="L61" s="1601">
        <f>+K61/B61</f>
        <v>0.99208015267175576</v>
      </c>
      <c r="N61" s="58">
        <f>+C61+D61+J61</f>
        <v>73360</v>
      </c>
      <c r="O61" s="58">
        <f>+N61-B61</f>
        <v>0</v>
      </c>
      <c r="Q61" s="1008">
        <v>0</v>
      </c>
      <c r="R61" s="1008">
        <v>0</v>
      </c>
      <c r="S61" s="1008">
        <v>0</v>
      </c>
      <c r="T61" s="1008">
        <v>0</v>
      </c>
      <c r="U61" s="1008">
        <v>0</v>
      </c>
    </row>
    <row r="62" spans="1:21" s="16" customFormat="1" ht="20.25">
      <c r="A62" s="638" t="s">
        <v>12</v>
      </c>
      <c r="B62" s="1602">
        <f>+'TABLA JURIDICA'!H8</f>
        <v>73379</v>
      </c>
      <c r="C62" s="1602">
        <v>504</v>
      </c>
      <c r="D62" s="1603">
        <f>11388-432-44+416-400</f>
        <v>10928</v>
      </c>
      <c r="E62" s="1602">
        <f t="shared" ref="E62:E72" si="9">SUM(C62:D62)</f>
        <v>11432</v>
      </c>
      <c r="F62" s="1602">
        <f>39755-150</f>
        <v>39605</v>
      </c>
      <c r="G62" s="1602">
        <f>15554-100</f>
        <v>15454</v>
      </c>
      <c r="H62" s="1602">
        <f>5188-155</f>
        <v>5033</v>
      </c>
      <c r="I62" s="1602">
        <f>1882-27</f>
        <v>1855</v>
      </c>
      <c r="J62" s="1603">
        <f>SUM(F62:I62)</f>
        <v>61947</v>
      </c>
      <c r="K62" s="1602">
        <f t="shared" ref="K62:K71" si="10">+J62+D62</f>
        <v>72875</v>
      </c>
      <c r="L62" s="1604">
        <f t="shared" ref="L62:L73" si="11">+K62/B62</f>
        <v>0.9931315498984723</v>
      </c>
      <c r="N62" s="58">
        <f t="shared" ref="N62:N72" si="12">+C62+D62+J62</f>
        <v>73379</v>
      </c>
      <c r="O62" s="58">
        <f t="shared" ref="O62:O72" si="13">+N62-B62</f>
        <v>0</v>
      </c>
      <c r="Q62" s="1008">
        <v>0</v>
      </c>
      <c r="R62" s="1008">
        <v>0</v>
      </c>
      <c r="S62" s="1008">
        <v>0</v>
      </c>
      <c r="T62" s="1008">
        <v>0</v>
      </c>
      <c r="U62" s="1008">
        <v>0</v>
      </c>
    </row>
    <row r="63" spans="1:21" s="16" customFormat="1" ht="20.25">
      <c r="A63" s="639" t="s">
        <v>13</v>
      </c>
      <c r="B63" s="1605">
        <f>+'TABLA JURIDICA'!H9</f>
        <v>72510</v>
      </c>
      <c r="C63" s="1605">
        <v>635</v>
      </c>
      <c r="D63" s="1605">
        <f>11292-950-44</f>
        <v>10298</v>
      </c>
      <c r="E63" s="1605">
        <f t="shared" si="9"/>
        <v>10933</v>
      </c>
      <c r="F63" s="1605">
        <f>39487-300</f>
        <v>39187</v>
      </c>
      <c r="G63" s="1605">
        <f>15603-120</f>
        <v>15483</v>
      </c>
      <c r="H63" s="1605">
        <f>5185-75</f>
        <v>5110</v>
      </c>
      <c r="I63" s="1605">
        <f>1850-53</f>
        <v>1797</v>
      </c>
      <c r="J63" s="1605">
        <f>SUM(F63:I63)</f>
        <v>61577</v>
      </c>
      <c r="K63" s="1605">
        <f t="shared" si="10"/>
        <v>71875</v>
      </c>
      <c r="L63" s="1606">
        <f t="shared" si="11"/>
        <v>0.99124258722934766</v>
      </c>
      <c r="N63" s="58">
        <f t="shared" si="12"/>
        <v>72510</v>
      </c>
      <c r="O63" s="58">
        <f t="shared" si="13"/>
        <v>0</v>
      </c>
      <c r="Q63" s="1008">
        <v>0</v>
      </c>
      <c r="R63" s="1008">
        <v>0</v>
      </c>
      <c r="S63" s="1008">
        <v>0</v>
      </c>
      <c r="T63" s="1008">
        <v>0</v>
      </c>
      <c r="U63" s="1008">
        <v>0</v>
      </c>
    </row>
    <row r="64" spans="1:21" s="16" customFormat="1" ht="20.25">
      <c r="A64" s="640" t="s">
        <v>53</v>
      </c>
      <c r="B64" s="1602">
        <f>+'TABLA JURIDICA'!H10</f>
        <v>73565</v>
      </c>
      <c r="C64" s="1602">
        <v>526</v>
      </c>
      <c r="D64" s="1603">
        <f>11169-44</f>
        <v>11125</v>
      </c>
      <c r="E64" s="1602">
        <f t="shared" si="9"/>
        <v>11651</v>
      </c>
      <c r="F64" s="1602">
        <f>39480-230</f>
        <v>39250</v>
      </c>
      <c r="G64" s="1602">
        <f>15701-100</f>
        <v>15601</v>
      </c>
      <c r="H64" s="1602">
        <f>5173-75</f>
        <v>5098</v>
      </c>
      <c r="I64" s="1602">
        <f>1990-25</f>
        <v>1965</v>
      </c>
      <c r="J64" s="1603">
        <f t="shared" ref="J64:J70" si="14">SUM(F64:I64)</f>
        <v>61914</v>
      </c>
      <c r="K64" s="1602">
        <f t="shared" si="10"/>
        <v>73039</v>
      </c>
      <c r="L64" s="1604">
        <f t="shared" si="11"/>
        <v>0.99284986066743697</v>
      </c>
      <c r="N64" s="58">
        <f t="shared" si="12"/>
        <v>73565</v>
      </c>
      <c r="O64" s="58">
        <f t="shared" si="13"/>
        <v>0</v>
      </c>
      <c r="Q64" s="1008">
        <v>13709</v>
      </c>
      <c r="R64" s="1008">
        <v>0</v>
      </c>
      <c r="S64" s="1008">
        <v>0</v>
      </c>
      <c r="T64" s="1008">
        <v>0</v>
      </c>
      <c r="U64" s="1008">
        <v>0</v>
      </c>
    </row>
    <row r="65" spans="1:21" s="16" customFormat="1" ht="20.25">
      <c r="A65" s="639" t="s">
        <v>243</v>
      </c>
      <c r="B65" s="1605">
        <f>+'TABLA JURIDICA'!H11</f>
        <v>72695</v>
      </c>
      <c r="C65" s="1605">
        <v>440</v>
      </c>
      <c r="D65" s="1605">
        <f>10200-44</f>
        <v>10156</v>
      </c>
      <c r="E65" s="1605">
        <f t="shared" si="9"/>
        <v>10596</v>
      </c>
      <c r="F65" s="1605">
        <f>39554-150</f>
        <v>39404</v>
      </c>
      <c r="G65" s="1605">
        <f>15758-80</f>
        <v>15678</v>
      </c>
      <c r="H65" s="1605">
        <f>5132-70</f>
        <v>5062</v>
      </c>
      <c r="I65" s="1605">
        <f>2005-50</f>
        <v>1955</v>
      </c>
      <c r="J65" s="1605">
        <f t="shared" si="14"/>
        <v>62099</v>
      </c>
      <c r="K65" s="1605">
        <f t="shared" si="10"/>
        <v>72255</v>
      </c>
      <c r="L65" s="1606">
        <f>+K65/B65</f>
        <v>0.99394731412064108</v>
      </c>
      <c r="N65" s="58">
        <f t="shared" si="12"/>
        <v>72695</v>
      </c>
      <c r="O65" s="58">
        <f t="shared" si="13"/>
        <v>0</v>
      </c>
      <c r="Q65" s="1008">
        <v>13709</v>
      </c>
      <c r="R65" s="1008">
        <v>44405</v>
      </c>
      <c r="S65" s="1008">
        <v>0</v>
      </c>
      <c r="T65" s="1008">
        <v>0</v>
      </c>
      <c r="U65" s="1008">
        <v>0</v>
      </c>
    </row>
    <row r="66" spans="1:21" s="16" customFormat="1" ht="20.25">
      <c r="A66" s="638" t="s">
        <v>54</v>
      </c>
      <c r="B66" s="1602">
        <f>+'TABLA JURIDICA'!H12</f>
        <v>72270</v>
      </c>
      <c r="C66" s="1602">
        <v>582</v>
      </c>
      <c r="D66" s="1603">
        <f>10544-44</f>
        <v>10500</v>
      </c>
      <c r="E66" s="1602">
        <f t="shared" si="9"/>
        <v>11082</v>
      </c>
      <c r="F66" s="1602">
        <f>39969-280</f>
        <v>39689</v>
      </c>
      <c r="G66" s="1602">
        <f>13993-180</f>
        <v>13813</v>
      </c>
      <c r="H66" s="1602">
        <f>5732-28</f>
        <v>5704</v>
      </c>
      <c r="I66" s="1602">
        <v>1982</v>
      </c>
      <c r="J66" s="1603">
        <f t="shared" si="14"/>
        <v>61188</v>
      </c>
      <c r="K66" s="1602">
        <f>+J66+D66</f>
        <v>71688</v>
      </c>
      <c r="L66" s="1604">
        <f t="shared" si="11"/>
        <v>0.99194686591946868</v>
      </c>
      <c r="N66" s="58">
        <f t="shared" si="12"/>
        <v>72270</v>
      </c>
      <c r="O66" s="58">
        <f t="shared" si="13"/>
        <v>0</v>
      </c>
      <c r="Q66" s="1008">
        <v>13709</v>
      </c>
      <c r="R66" s="1008">
        <v>44405</v>
      </c>
      <c r="S66" s="1008">
        <v>16125</v>
      </c>
      <c r="T66" s="1008">
        <v>0</v>
      </c>
      <c r="U66" s="1008">
        <v>0</v>
      </c>
    </row>
    <row r="67" spans="1:21" s="16" customFormat="1" ht="20.25">
      <c r="A67" s="639" t="s">
        <v>56</v>
      </c>
      <c r="B67" s="1605">
        <f>+'TABLA JURIDICA'!H13</f>
        <v>71879</v>
      </c>
      <c r="C67" s="1605">
        <v>552</v>
      </c>
      <c r="D67" s="1605">
        <f>10023-44</f>
        <v>9979</v>
      </c>
      <c r="E67" s="1605">
        <f t="shared" si="9"/>
        <v>10531</v>
      </c>
      <c r="F67" s="1605">
        <f>39320-150</f>
        <v>39170</v>
      </c>
      <c r="G67" s="1605">
        <f>15102-170</f>
        <v>14932</v>
      </c>
      <c r="H67" s="1605">
        <f>5252-180+76</f>
        <v>5148</v>
      </c>
      <c r="I67" s="1605">
        <v>2098</v>
      </c>
      <c r="J67" s="1605">
        <f t="shared" si="14"/>
        <v>61348</v>
      </c>
      <c r="K67" s="1605">
        <f t="shared" si="10"/>
        <v>71327</v>
      </c>
      <c r="L67" s="1606">
        <f t="shared" si="11"/>
        <v>0.99232042738491077</v>
      </c>
      <c r="N67" s="58">
        <f t="shared" si="12"/>
        <v>71879</v>
      </c>
      <c r="O67" s="58">
        <f t="shared" si="13"/>
        <v>0</v>
      </c>
      <c r="Q67" s="1008">
        <v>13709</v>
      </c>
      <c r="R67" s="1008">
        <v>44405</v>
      </c>
      <c r="S67" s="1008">
        <v>16125</v>
      </c>
      <c r="T67" s="1008">
        <v>5251</v>
      </c>
      <c r="U67" s="1008">
        <v>0</v>
      </c>
    </row>
    <row r="68" spans="1:21" s="16" customFormat="1" ht="20.25">
      <c r="A68" s="640" t="s">
        <v>68</v>
      </c>
      <c r="B68" s="1602">
        <f>+'TABLA JURIDICA'!H14</f>
        <v>71812</v>
      </c>
      <c r="C68" s="1602">
        <v>723</v>
      </c>
      <c r="D68" s="1603">
        <f>10504-44</f>
        <v>10460</v>
      </c>
      <c r="E68" s="1602">
        <f t="shared" si="9"/>
        <v>11183</v>
      </c>
      <c r="F68" s="1602">
        <f>38431-150</f>
        <v>38281</v>
      </c>
      <c r="G68" s="1602">
        <f>15416-150</f>
        <v>15266</v>
      </c>
      <c r="H68" s="1602">
        <f>5329-200</f>
        <v>5129</v>
      </c>
      <c r="I68" s="1602">
        <f>2094-141</f>
        <v>1953</v>
      </c>
      <c r="J68" s="1603">
        <f t="shared" si="14"/>
        <v>60629</v>
      </c>
      <c r="K68" s="1602">
        <f t="shared" si="10"/>
        <v>71089</v>
      </c>
      <c r="L68" s="1604">
        <f t="shared" si="11"/>
        <v>0.98993204478360164</v>
      </c>
      <c r="N68" s="58">
        <f t="shared" si="12"/>
        <v>71812</v>
      </c>
      <c r="O68" s="58">
        <f t="shared" si="13"/>
        <v>0</v>
      </c>
      <c r="Q68" s="1008">
        <v>13709</v>
      </c>
      <c r="R68" s="1008">
        <v>44405</v>
      </c>
      <c r="S68" s="1008">
        <v>16125</v>
      </c>
      <c r="T68" s="1008">
        <v>5251</v>
      </c>
      <c r="U68" s="1008">
        <v>1661</v>
      </c>
    </row>
    <row r="69" spans="1:21" s="16" customFormat="1" ht="20.25">
      <c r="A69" s="639" t="s">
        <v>69</v>
      </c>
      <c r="B69" s="1605">
        <f>+'TABLA JURIDICA'!H15</f>
        <v>71956</v>
      </c>
      <c r="C69" s="1605">
        <v>634</v>
      </c>
      <c r="D69" s="1605">
        <f>10513-44</f>
        <v>10469</v>
      </c>
      <c r="E69" s="1605">
        <f t="shared" si="9"/>
        <v>11103</v>
      </c>
      <c r="F69" s="1605">
        <f>38470-180</f>
        <v>38290</v>
      </c>
      <c r="G69" s="1605">
        <f>15400-150</f>
        <v>15250</v>
      </c>
      <c r="H69" s="1605">
        <f>5354-150</f>
        <v>5204</v>
      </c>
      <c r="I69" s="1605">
        <f>2150-41</f>
        <v>2109</v>
      </c>
      <c r="J69" s="1605">
        <f t="shared" si="14"/>
        <v>60853</v>
      </c>
      <c r="K69" s="1605">
        <f t="shared" si="10"/>
        <v>71322</v>
      </c>
      <c r="L69" s="1606">
        <f t="shared" si="11"/>
        <v>0.99118905998109952</v>
      </c>
      <c r="N69" s="58">
        <f t="shared" si="12"/>
        <v>71956</v>
      </c>
      <c r="O69" s="58">
        <f t="shared" si="13"/>
        <v>0</v>
      </c>
    </row>
    <row r="70" spans="1:21" s="16" customFormat="1" ht="20.25">
      <c r="A70" s="640" t="s">
        <v>248</v>
      </c>
      <c r="B70" s="1602">
        <f>+'TABLA JURIDICA'!H16</f>
        <v>71821</v>
      </c>
      <c r="C70" s="1602">
        <v>590</v>
      </c>
      <c r="D70" s="1603">
        <f>10494-44</f>
        <v>10450</v>
      </c>
      <c r="E70" s="1602">
        <f t="shared" si="9"/>
        <v>11040</v>
      </c>
      <c r="F70" s="1602">
        <f>38200-190</f>
        <v>38010</v>
      </c>
      <c r="G70" s="1602">
        <f>15548-150</f>
        <v>15398</v>
      </c>
      <c r="H70" s="1602">
        <f>5393-80</f>
        <v>5313</v>
      </c>
      <c r="I70" s="1602">
        <f>2134-74</f>
        <v>2060</v>
      </c>
      <c r="J70" s="1603">
        <f t="shared" si="14"/>
        <v>60781</v>
      </c>
      <c r="K70" s="1602">
        <f t="shared" si="10"/>
        <v>71231</v>
      </c>
      <c r="L70" s="1604">
        <f t="shared" si="11"/>
        <v>0.99178513248214306</v>
      </c>
      <c r="N70" s="58">
        <f t="shared" si="12"/>
        <v>71821</v>
      </c>
      <c r="O70" s="58">
        <f t="shared" si="13"/>
        <v>0</v>
      </c>
    </row>
    <row r="71" spans="1:21" s="16" customFormat="1" ht="20.25">
      <c r="A71" s="639" t="s">
        <v>244</v>
      </c>
      <c r="B71" s="1605">
        <f>+'TABLA JURIDICA'!H17</f>
        <v>71672</v>
      </c>
      <c r="C71" s="1605">
        <v>698</v>
      </c>
      <c r="D71" s="1605">
        <f>10515-44</f>
        <v>10471</v>
      </c>
      <c r="E71" s="1605">
        <f t="shared" si="9"/>
        <v>11169</v>
      </c>
      <c r="F71" s="1605">
        <f>38168-180</f>
        <v>37988</v>
      </c>
      <c r="G71" s="1605">
        <f>15428-350</f>
        <v>15078</v>
      </c>
      <c r="H71" s="1605">
        <f>5321+42</f>
        <v>5363</v>
      </c>
      <c r="I71" s="1605">
        <f>2158-84</f>
        <v>2074</v>
      </c>
      <c r="J71" s="1605">
        <f>SUM(F71:I71)</f>
        <v>60503</v>
      </c>
      <c r="K71" s="1605">
        <f t="shared" si="10"/>
        <v>70974</v>
      </c>
      <c r="L71" s="1606">
        <f t="shared" si="11"/>
        <v>0.99026118986494027</v>
      </c>
      <c r="N71" s="58">
        <f t="shared" si="12"/>
        <v>71672</v>
      </c>
      <c r="O71" s="58">
        <f t="shared" si="13"/>
        <v>0</v>
      </c>
    </row>
    <row r="72" spans="1:21" s="16" customFormat="1" ht="20.25">
      <c r="A72" s="641" t="s">
        <v>249</v>
      </c>
      <c r="B72" s="1607">
        <f>+'TABLA JURIDICA'!H18</f>
        <v>71318</v>
      </c>
      <c r="C72" s="1607">
        <v>502</v>
      </c>
      <c r="D72" s="1608">
        <f>10270-44</f>
        <v>10226</v>
      </c>
      <c r="E72" s="1607">
        <f t="shared" si="9"/>
        <v>10728</v>
      </c>
      <c r="F72" s="1607">
        <f>38267-130</f>
        <v>38137</v>
      </c>
      <c r="G72" s="1607">
        <f>15191-80-12</f>
        <v>15099</v>
      </c>
      <c r="H72" s="1607">
        <f>5384-100</f>
        <v>5284</v>
      </c>
      <c r="I72" s="1607">
        <f>2151-81</f>
        <v>2070</v>
      </c>
      <c r="J72" s="1608">
        <f>SUM(F72:I72)</f>
        <v>60590</v>
      </c>
      <c r="K72" s="1607">
        <f>+J72+D72</f>
        <v>70816</v>
      </c>
      <c r="L72" s="1609">
        <f t="shared" si="11"/>
        <v>0.99296110378866487</v>
      </c>
      <c r="N72" s="58">
        <f t="shared" si="12"/>
        <v>71318</v>
      </c>
      <c r="O72" s="58">
        <f t="shared" si="13"/>
        <v>0</v>
      </c>
    </row>
    <row r="73" spans="1:21" s="16" customFormat="1" ht="30" customHeight="1">
      <c r="A73" s="2083" t="s">
        <v>289</v>
      </c>
      <c r="B73" s="1327">
        <f>AVERAGE(B61:B72)</f>
        <v>72353.083333333328</v>
      </c>
      <c r="C73" s="674">
        <f t="shared" ref="C73:K73" si="15">AVERAGE(C61:C72)</f>
        <v>580.58333333333337</v>
      </c>
      <c r="D73" s="674">
        <f t="shared" si="15"/>
        <v>10463.75</v>
      </c>
      <c r="E73" s="674">
        <f t="shared" si="15"/>
        <v>11044.333333333334</v>
      </c>
      <c r="F73" s="674">
        <f t="shared" si="15"/>
        <v>38911.166666666664</v>
      </c>
      <c r="G73" s="674">
        <f t="shared" si="15"/>
        <v>15214.25</v>
      </c>
      <c r="H73" s="674">
        <f t="shared" si="15"/>
        <v>5210</v>
      </c>
      <c r="I73" s="674">
        <f t="shared" si="15"/>
        <v>1973.3333333333333</v>
      </c>
      <c r="J73" s="674">
        <f t="shared" si="15"/>
        <v>61308.75</v>
      </c>
      <c r="K73" s="674">
        <f t="shared" si="15"/>
        <v>71772.5</v>
      </c>
      <c r="L73" s="1610">
        <f t="shared" si="11"/>
        <v>0.99197569327268942</v>
      </c>
      <c r="O73" s="16">
        <f>527/12</f>
        <v>43.916666666666664</v>
      </c>
    </row>
    <row r="74" spans="1:21" s="16" customFormat="1" ht="30" customHeight="1" thickBot="1">
      <c r="A74" s="2084"/>
      <c r="B74" s="1611"/>
      <c r="C74" s="1395">
        <f>+C73/$B$73</f>
        <v>8.024306727310632E-3</v>
      </c>
      <c r="D74" s="1395">
        <f t="shared" ref="D74:K74" si="16">+D73/$B$73</f>
        <v>0.14462065081308445</v>
      </c>
      <c r="E74" s="1395">
        <f t="shared" si="16"/>
        <v>0.15264495754039509</v>
      </c>
      <c r="F74" s="1395">
        <f t="shared" si="16"/>
        <v>0.53779555582173988</v>
      </c>
      <c r="G74" s="1395">
        <f t="shared" si="16"/>
        <v>0.21027783888500493</v>
      </c>
      <c r="H74" s="1395">
        <f t="shared" si="16"/>
        <v>7.2007988602190418E-2</v>
      </c>
      <c r="I74" s="1395">
        <f t="shared" si="16"/>
        <v>2.7273659150669691E-2</v>
      </c>
      <c r="J74" s="1395">
        <f t="shared" si="16"/>
        <v>0.84735504245960502</v>
      </c>
      <c r="K74" s="1395">
        <f t="shared" si="16"/>
        <v>0.99197569327268942</v>
      </c>
      <c r="L74" s="677"/>
    </row>
    <row r="75" spans="1:21" s="16" customFormat="1" ht="16.149999999999999" customHeight="1">
      <c r="A75" s="16" t="s">
        <v>453</v>
      </c>
      <c r="C75" s="58"/>
    </row>
    <row r="77" spans="1:21">
      <c r="J77" s="1008">
        <f>+C73+D73+F73+G73+H73+I73</f>
        <v>72353.083333333328</v>
      </c>
      <c r="M77" s="16"/>
      <c r="N77" s="16"/>
      <c r="O77" s="16"/>
      <c r="P77" s="16"/>
      <c r="Q77" s="16"/>
    </row>
    <row r="78" spans="1:21">
      <c r="I78" s="1008"/>
      <c r="M78" s="16"/>
      <c r="N78" s="16"/>
      <c r="O78" s="16"/>
      <c r="P78" s="16"/>
      <c r="Q78" s="16"/>
    </row>
    <row r="79" spans="1:21" ht="16.5" customHeight="1">
      <c r="A79" s="1890" t="s">
        <v>735</v>
      </c>
      <c r="B79" s="1890"/>
      <c r="C79" s="1890"/>
      <c r="D79" s="1890"/>
      <c r="M79" s="16"/>
      <c r="N79" s="16"/>
      <c r="O79" s="16"/>
      <c r="P79" s="16"/>
      <c r="Q79" s="16"/>
    </row>
    <row r="81" spans="1:5" ht="24" customHeight="1">
      <c r="A81" s="679" t="s">
        <v>422</v>
      </c>
      <c r="B81" s="680" t="s">
        <v>424</v>
      </c>
      <c r="C81" s="680" t="s">
        <v>435</v>
      </c>
      <c r="D81" s="681" t="s">
        <v>433</v>
      </c>
    </row>
    <row r="82" spans="1:5" ht="44.25" customHeight="1">
      <c r="A82" s="682" t="s">
        <v>423</v>
      </c>
      <c r="B82" s="683" t="s">
        <v>429</v>
      </c>
      <c r="C82" s="683" t="s">
        <v>425</v>
      </c>
      <c r="D82" s="683" t="s">
        <v>426</v>
      </c>
    </row>
    <row r="83" spans="1:5" ht="78" customHeight="1">
      <c r="A83" s="684" t="s">
        <v>47</v>
      </c>
      <c r="B83" s="685" t="s">
        <v>430</v>
      </c>
      <c r="C83" s="685" t="s">
        <v>714</v>
      </c>
      <c r="D83" s="685" t="s">
        <v>426</v>
      </c>
    </row>
    <row r="84" spans="1:5" ht="44.25" customHeight="1">
      <c r="A84" s="686" t="s">
        <v>48</v>
      </c>
      <c r="B84" s="687" t="s">
        <v>431</v>
      </c>
      <c r="C84" s="687" t="s">
        <v>428</v>
      </c>
      <c r="D84" s="687" t="s">
        <v>426</v>
      </c>
    </row>
    <row r="85" spans="1:5" ht="43.5" customHeight="1">
      <c r="A85" s="688" t="s">
        <v>427</v>
      </c>
      <c r="B85" s="689" t="s">
        <v>432</v>
      </c>
      <c r="C85" s="689" t="s">
        <v>425</v>
      </c>
      <c r="D85" s="689" t="s">
        <v>426</v>
      </c>
    </row>
    <row r="89" spans="1:5" ht="15.75" thickBot="1"/>
    <row r="90" spans="1:5" ht="45.75" customHeight="1">
      <c r="A90" s="1594" t="s">
        <v>32</v>
      </c>
      <c r="B90" s="1595" t="s">
        <v>842</v>
      </c>
      <c r="C90" s="1596" t="s">
        <v>711</v>
      </c>
      <c r="D90" s="1596" t="s">
        <v>713</v>
      </c>
      <c r="E90" s="1597" t="s">
        <v>712</v>
      </c>
    </row>
    <row r="91" spans="1:5" ht="17.25" customHeight="1">
      <c r="A91" s="1043" t="s">
        <v>247</v>
      </c>
      <c r="B91" s="1044">
        <v>272</v>
      </c>
      <c r="C91" s="1044">
        <v>268</v>
      </c>
      <c r="D91" s="1044">
        <v>10</v>
      </c>
      <c r="E91" s="1045">
        <v>35</v>
      </c>
    </row>
    <row r="92" spans="1:5" ht="17.25" customHeight="1">
      <c r="A92" s="1046" t="s">
        <v>12</v>
      </c>
      <c r="B92" s="1047">
        <v>269</v>
      </c>
      <c r="C92" s="1047">
        <v>265</v>
      </c>
      <c r="D92" s="1047">
        <v>48</v>
      </c>
      <c r="E92" s="1048">
        <v>36</v>
      </c>
    </row>
    <row r="93" spans="1:5" ht="17.25" customHeight="1">
      <c r="A93" s="1049" t="s">
        <v>13</v>
      </c>
      <c r="B93" s="1050">
        <v>234</v>
      </c>
      <c r="C93" s="1050">
        <v>163</v>
      </c>
      <c r="D93" s="1050">
        <v>21</v>
      </c>
      <c r="E93" s="1051">
        <v>41</v>
      </c>
    </row>
    <row r="94" spans="1:5" ht="17.25" customHeight="1">
      <c r="A94" s="1052" t="s">
        <v>53</v>
      </c>
      <c r="B94" s="1047">
        <v>247</v>
      </c>
      <c r="C94" s="1047">
        <v>245</v>
      </c>
      <c r="D94" s="1047">
        <v>46</v>
      </c>
      <c r="E94" s="1048">
        <v>50</v>
      </c>
    </row>
    <row r="95" spans="1:5" ht="17.25" customHeight="1">
      <c r="A95" s="1049" t="s">
        <v>243</v>
      </c>
      <c r="B95" s="1050">
        <v>236</v>
      </c>
      <c r="C95" s="1050">
        <v>235</v>
      </c>
      <c r="D95" s="1050">
        <v>63</v>
      </c>
      <c r="E95" s="1051">
        <v>59</v>
      </c>
    </row>
    <row r="96" spans="1:5" ht="17.25" customHeight="1">
      <c r="A96" s="1046" t="s">
        <v>54</v>
      </c>
      <c r="B96" s="1047">
        <v>220</v>
      </c>
      <c r="C96" s="1047">
        <v>219</v>
      </c>
      <c r="D96" s="1047">
        <v>59</v>
      </c>
      <c r="E96" s="1048">
        <v>57</v>
      </c>
    </row>
    <row r="97" spans="1:5" ht="17.25" customHeight="1">
      <c r="A97" s="1049" t="s">
        <v>56</v>
      </c>
      <c r="B97" s="1050">
        <v>216</v>
      </c>
      <c r="C97" s="1050">
        <v>215</v>
      </c>
      <c r="D97" s="1050">
        <v>40</v>
      </c>
      <c r="E97" s="1051">
        <v>57</v>
      </c>
    </row>
    <row r="98" spans="1:5" ht="17.25" customHeight="1">
      <c r="A98" s="1052" t="s">
        <v>68</v>
      </c>
      <c r="B98" s="1047">
        <v>209</v>
      </c>
      <c r="C98" s="1047">
        <v>209</v>
      </c>
      <c r="D98" s="1047">
        <v>31</v>
      </c>
      <c r="E98" s="1048">
        <v>55</v>
      </c>
    </row>
    <row r="99" spans="1:5" ht="17.25" customHeight="1">
      <c r="A99" s="1049" t="s">
        <v>69</v>
      </c>
      <c r="B99" s="1050">
        <v>204</v>
      </c>
      <c r="C99" s="1050">
        <v>204</v>
      </c>
      <c r="D99" s="1050">
        <v>40</v>
      </c>
      <c r="E99" s="1051">
        <v>53</v>
      </c>
    </row>
    <row r="100" spans="1:5" ht="17.25" customHeight="1">
      <c r="A100" s="1052" t="s">
        <v>248</v>
      </c>
      <c r="B100" s="1047">
        <v>200</v>
      </c>
      <c r="C100" s="1047">
        <v>200</v>
      </c>
      <c r="D100" s="1047">
        <v>62</v>
      </c>
      <c r="E100" s="1048">
        <v>58</v>
      </c>
    </row>
    <row r="101" spans="1:5" ht="17.25" customHeight="1">
      <c r="A101" s="1049" t="s">
        <v>244</v>
      </c>
      <c r="B101" s="1050">
        <v>190</v>
      </c>
      <c r="C101" s="1050">
        <v>190</v>
      </c>
      <c r="D101" s="1050">
        <v>63</v>
      </c>
      <c r="E101" s="1051">
        <v>40</v>
      </c>
    </row>
    <row r="102" spans="1:5" ht="17.25" customHeight="1" thickBot="1">
      <c r="A102" s="1052" t="s">
        <v>249</v>
      </c>
      <c r="B102" s="1598">
        <v>188</v>
      </c>
      <c r="C102" s="1598">
        <v>188</v>
      </c>
      <c r="D102" s="1598">
        <v>53</v>
      </c>
      <c r="E102" s="1599">
        <v>56</v>
      </c>
    </row>
    <row r="103" spans="1:5" ht="21.75" customHeight="1" thickBot="1">
      <c r="A103" s="1053" t="s">
        <v>289</v>
      </c>
      <c r="B103" s="1054">
        <v>223.75</v>
      </c>
      <c r="C103" s="1054">
        <v>216.75</v>
      </c>
      <c r="D103" s="1054">
        <v>44.666666666666664</v>
      </c>
      <c r="E103" s="1055">
        <v>49.75</v>
      </c>
    </row>
  </sheetData>
  <mergeCells count="40">
    <mergeCell ref="N22:N23"/>
    <mergeCell ref="O22:O23"/>
    <mergeCell ref="A73:A74"/>
    <mergeCell ref="A57:H57"/>
    <mergeCell ref="A59:A60"/>
    <mergeCell ref="B59:B60"/>
    <mergeCell ref="L59:L60"/>
    <mergeCell ref="A37:A38"/>
    <mergeCell ref="B38:D38"/>
    <mergeCell ref="E38:G38"/>
    <mergeCell ref="H38:J38"/>
    <mergeCell ref="K38:M38"/>
    <mergeCell ref="C59:E59"/>
    <mergeCell ref="F59:J59"/>
    <mergeCell ref="K59:K60"/>
    <mergeCell ref="A42:A43"/>
    <mergeCell ref="A79:D79"/>
    <mergeCell ref="A17:A18"/>
    <mergeCell ref="A1:G1"/>
    <mergeCell ref="A22:A23"/>
    <mergeCell ref="B22:D22"/>
    <mergeCell ref="E22:G22"/>
    <mergeCell ref="A20:M20"/>
    <mergeCell ref="H22:J22"/>
    <mergeCell ref="K22:L22"/>
    <mergeCell ref="M22:M23"/>
    <mergeCell ref="A2:H2"/>
    <mergeCell ref="A40:M40"/>
    <mergeCell ref="E42:G42"/>
    <mergeCell ref="H42:J42"/>
    <mergeCell ref="K42:L42"/>
    <mergeCell ref="M42:M43"/>
    <mergeCell ref="O42:O43"/>
    <mergeCell ref="N42:N43"/>
    <mergeCell ref="A50:A51"/>
    <mergeCell ref="B51:D51"/>
    <mergeCell ref="E51:G51"/>
    <mergeCell ref="H51:J51"/>
    <mergeCell ref="K51:M51"/>
    <mergeCell ref="B42:D42"/>
  </mergeCells>
  <pageMargins left="0.7" right="0.7" top="0.75" bottom="0.75" header="0.3" footer="0.3"/>
  <pageSetup orientation="portrait" horizontalDpi="4294967292" r:id="rId1"/>
  <ignoredErrors>
    <ignoredError sqref="C38:D38 D37 J37" formula="1"/>
    <ignoredError sqref="J68:J72" formulaRange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rgb="FF009900"/>
  </sheetPr>
  <dimension ref="A2:AB138"/>
  <sheetViews>
    <sheetView showGridLines="0" topLeftCell="A17" zoomScale="60" zoomScaleNormal="60" workbookViewId="0">
      <selection activeCell="N27" sqref="N27"/>
    </sheetView>
  </sheetViews>
  <sheetFormatPr baseColWidth="10" defaultRowHeight="15"/>
  <cols>
    <col min="1" max="1" width="29.42578125" customWidth="1"/>
    <col min="2" max="4" width="13.140625" customWidth="1"/>
    <col min="5" max="5" width="14.85546875" customWidth="1"/>
    <col min="6" max="8" width="13.140625" customWidth="1"/>
    <col min="9" max="9" width="15" customWidth="1"/>
    <col min="10" max="10" width="13.140625" customWidth="1"/>
    <col min="11" max="11" width="15" customWidth="1"/>
    <col min="12" max="12" width="13.140625" customWidth="1"/>
    <col min="13" max="13" width="15" customWidth="1"/>
    <col min="14" max="14" width="17.5703125" customWidth="1"/>
    <col min="15" max="15" width="15.7109375" customWidth="1"/>
    <col min="17" max="17" width="14.28515625" bestFit="1" customWidth="1"/>
    <col min="19" max="19" width="8.42578125" customWidth="1"/>
  </cols>
  <sheetData>
    <row r="2" spans="1:18">
      <c r="A2" s="2103" t="s">
        <v>846</v>
      </c>
      <c r="B2" s="2103"/>
      <c r="C2" s="2103"/>
      <c r="D2" s="2103"/>
      <c r="E2" s="2103"/>
      <c r="F2" s="2103"/>
      <c r="G2" s="2103"/>
      <c r="H2" s="2103"/>
      <c r="I2" s="2103"/>
      <c r="J2" s="2103"/>
      <c r="K2" s="2103"/>
      <c r="L2" s="2103"/>
      <c r="M2" s="2103"/>
      <c r="N2" s="2103"/>
      <c r="O2" s="2103"/>
    </row>
    <row r="4" spans="1:18" ht="16.5" thickBot="1">
      <c r="A4" s="51">
        <v>2020</v>
      </c>
      <c r="B4" s="1315">
        <v>29464</v>
      </c>
      <c r="C4" s="1315">
        <v>6361</v>
      </c>
      <c r="D4" s="1316">
        <v>35825</v>
      </c>
      <c r="E4" s="1318">
        <v>1.8421127441225815E-2</v>
      </c>
      <c r="F4" s="1315">
        <v>30516</v>
      </c>
      <c r="G4" s="1315">
        <v>5338</v>
      </c>
      <c r="H4" s="1317">
        <v>35854</v>
      </c>
      <c r="I4" s="1318">
        <v>-4.2768273716952132E-3</v>
      </c>
      <c r="J4" s="51">
        <v>59980</v>
      </c>
      <c r="K4" s="1318">
        <v>7.2715669974978692E-3</v>
      </c>
      <c r="L4" s="51">
        <v>11699</v>
      </c>
      <c r="M4" s="1318">
        <v>5.2414504210345214E-3</v>
      </c>
      <c r="N4" s="51">
        <v>71679</v>
      </c>
      <c r="O4" s="1318">
        <v>6.9396642551098342E-3</v>
      </c>
    </row>
    <row r="5" spans="1:18" s="157" customFormat="1" ht="25.5" customHeight="1">
      <c r="A5" s="2114" t="s">
        <v>32</v>
      </c>
      <c r="B5" s="2116" t="s">
        <v>49</v>
      </c>
      <c r="C5" s="2117"/>
      <c r="D5" s="2117"/>
      <c r="E5" s="2118"/>
      <c r="F5" s="2116" t="s">
        <v>50</v>
      </c>
      <c r="G5" s="2117"/>
      <c r="H5" s="2117"/>
      <c r="I5" s="2117"/>
      <c r="J5" s="2119" t="s">
        <v>301</v>
      </c>
      <c r="K5" s="2119"/>
      <c r="L5" s="2119"/>
      <c r="M5" s="2119"/>
      <c r="N5" s="2120" t="s">
        <v>925</v>
      </c>
      <c r="O5" s="2109" t="s">
        <v>33</v>
      </c>
    </row>
    <row r="6" spans="1:18" s="157" customFormat="1" ht="39.75" customHeight="1">
      <c r="A6" s="2115"/>
      <c r="B6" s="678" t="s">
        <v>812</v>
      </c>
      <c r="C6" s="678" t="s">
        <v>811</v>
      </c>
      <c r="D6" s="678" t="s">
        <v>274</v>
      </c>
      <c r="E6" s="678" t="s">
        <v>33</v>
      </c>
      <c r="F6" s="678" t="s">
        <v>812</v>
      </c>
      <c r="G6" s="678" t="s">
        <v>811</v>
      </c>
      <c r="H6" s="678" t="s">
        <v>17</v>
      </c>
      <c r="I6" s="678" t="s">
        <v>33</v>
      </c>
      <c r="J6" s="678" t="s">
        <v>812</v>
      </c>
      <c r="K6" s="678" t="s">
        <v>33</v>
      </c>
      <c r="L6" s="678" t="s">
        <v>811</v>
      </c>
      <c r="M6" s="678" t="s">
        <v>33</v>
      </c>
      <c r="N6" s="2121"/>
      <c r="O6" s="2110"/>
    </row>
    <row r="7" spans="1:18" s="157" customFormat="1" ht="22.5" customHeight="1">
      <c r="A7" s="649" t="s">
        <v>247</v>
      </c>
      <c r="B7" s="1613">
        <v>31167</v>
      </c>
      <c r="C7" s="1613">
        <v>5785</v>
      </c>
      <c r="D7" s="1613">
        <v>36952</v>
      </c>
      <c r="E7" s="1614">
        <f>+D7*1/D4-1</f>
        <v>3.1458478715980398E-2</v>
      </c>
      <c r="F7" s="1613">
        <v>29770</v>
      </c>
      <c r="G7" s="1613">
        <v>4810</v>
      </c>
      <c r="H7" s="1613">
        <v>34580</v>
      </c>
      <c r="I7" s="1614">
        <f>+H7*1/H4-1</f>
        <v>-3.5532994923857864E-2</v>
      </c>
      <c r="J7" s="1615">
        <f>+B7+F7</f>
        <v>60937</v>
      </c>
      <c r="K7" s="1614">
        <f>+J7*1/J4-1</f>
        <v>1.5955318439479838E-2</v>
      </c>
      <c r="L7" s="1613">
        <f>+C7+G7</f>
        <v>10595</v>
      </c>
      <c r="M7" s="1614">
        <f>+L7*1/L4-1</f>
        <v>-9.4367039917941709E-2</v>
      </c>
      <c r="N7" s="1613">
        <f>+L7+J7</f>
        <v>71532</v>
      </c>
      <c r="O7" s="1614">
        <f>+N7*1/N4-1</f>
        <v>-2.0508098606286662E-3</v>
      </c>
      <c r="Q7" s="161"/>
      <c r="R7" s="161"/>
    </row>
    <row r="8" spans="1:18" s="157" customFormat="1" ht="22.5" customHeight="1">
      <c r="A8" s="650" t="s">
        <v>12</v>
      </c>
      <c r="B8" s="1616">
        <v>29955</v>
      </c>
      <c r="C8" s="1616">
        <v>6353</v>
      </c>
      <c r="D8" s="1616">
        <v>36308</v>
      </c>
      <c r="E8" s="1617">
        <f>+D8*1/D7-1</f>
        <v>-1.7428014721801222E-2</v>
      </c>
      <c r="F8" s="1616">
        <v>30317</v>
      </c>
      <c r="G8" s="1616">
        <v>4829</v>
      </c>
      <c r="H8" s="1616">
        <v>35146</v>
      </c>
      <c r="I8" s="1617">
        <f>+H8*1/H7-1</f>
        <v>1.6367842683632228E-2</v>
      </c>
      <c r="J8" s="1618">
        <f t="shared" ref="J8:J18" si="0">+B8+F8</f>
        <v>60272</v>
      </c>
      <c r="K8" s="1619">
        <f>+J8*1/J7-1</f>
        <v>-1.0912910054646563E-2</v>
      </c>
      <c r="L8" s="1616">
        <f t="shared" ref="L8:L18" si="1">+C8+G8</f>
        <v>11182</v>
      </c>
      <c r="M8" s="1617">
        <f>+L8*1/L7-1</f>
        <v>5.5403492213308203E-2</v>
      </c>
      <c r="N8" s="1616">
        <f t="shared" ref="N8:N18" si="2">+L8+J8</f>
        <v>71454</v>
      </c>
      <c r="O8" s="1617">
        <f>+N8*1/N7-1</f>
        <v>-1.0904210702902262E-3</v>
      </c>
      <c r="Q8" s="161"/>
      <c r="R8" s="161"/>
    </row>
    <row r="9" spans="1:18" s="157" customFormat="1" ht="22.5" customHeight="1">
      <c r="A9" s="649" t="s">
        <v>13</v>
      </c>
      <c r="B9" s="1613">
        <v>29798</v>
      </c>
      <c r="C9" s="1613">
        <v>6341</v>
      </c>
      <c r="D9" s="1613">
        <v>36139</v>
      </c>
      <c r="E9" s="1614">
        <f>+D9*1/D8-1</f>
        <v>-4.6546215710036032E-3</v>
      </c>
      <c r="F9" s="1613">
        <v>29841</v>
      </c>
      <c r="G9" s="1613">
        <v>5156</v>
      </c>
      <c r="H9" s="1613">
        <v>34997</v>
      </c>
      <c r="I9" s="1614">
        <f t="shared" ref="I9:I18" si="3">+H9*1/H8-1</f>
        <v>-4.2394582598304087E-3</v>
      </c>
      <c r="J9" s="1615">
        <f t="shared" si="0"/>
        <v>59639</v>
      </c>
      <c r="K9" s="1620">
        <f t="shared" ref="K9:K18" si="4">+J9*1/J8-1</f>
        <v>-1.0502389169100068E-2</v>
      </c>
      <c r="L9" s="1613">
        <f t="shared" si="1"/>
        <v>11497</v>
      </c>
      <c r="M9" s="1614">
        <f t="shared" ref="M9:M18" si="5">+L9*1/L8-1</f>
        <v>2.8170273654086975E-2</v>
      </c>
      <c r="N9" s="1621">
        <f t="shared" si="2"/>
        <v>71136</v>
      </c>
      <c r="O9" s="1614">
        <f t="shared" ref="O9:O18" si="6">+N9*1/N8-1</f>
        <v>-4.4504156520278615E-3</v>
      </c>
      <c r="Q9" s="161"/>
      <c r="R9" s="161"/>
    </row>
    <row r="10" spans="1:18" s="157" customFormat="1" ht="22.5" customHeight="1">
      <c r="A10" s="650" t="s">
        <v>53</v>
      </c>
      <c r="B10" s="1616">
        <v>30716</v>
      </c>
      <c r="C10" s="1616">
        <v>6831</v>
      </c>
      <c r="D10" s="1616">
        <v>37547</v>
      </c>
      <c r="E10" s="1617">
        <f t="shared" ref="E10:E18" si="7">+D10*1/D9-1</f>
        <v>3.8960679598218029E-2</v>
      </c>
      <c r="F10" s="1616">
        <v>29089</v>
      </c>
      <c r="G10" s="1616">
        <v>4647</v>
      </c>
      <c r="H10" s="1616">
        <v>33736</v>
      </c>
      <c r="I10" s="1617">
        <f t="shared" si="3"/>
        <v>-3.6031659856559095E-2</v>
      </c>
      <c r="J10" s="1618">
        <f t="shared" si="0"/>
        <v>59805</v>
      </c>
      <c r="K10" s="1619">
        <f t="shared" si="4"/>
        <v>2.7834135381210601E-3</v>
      </c>
      <c r="L10" s="1616">
        <f t="shared" si="1"/>
        <v>11478</v>
      </c>
      <c r="M10" s="1617">
        <f t="shared" si="5"/>
        <v>-1.6526050273985016E-3</v>
      </c>
      <c r="N10" s="1622">
        <f t="shared" si="2"/>
        <v>71283</v>
      </c>
      <c r="O10" s="1617">
        <f t="shared" si="6"/>
        <v>2.0664642375167741E-3</v>
      </c>
      <c r="Q10" s="161"/>
      <c r="R10" s="161"/>
    </row>
    <row r="11" spans="1:18" s="157" customFormat="1" ht="22.5" customHeight="1">
      <c r="A11" s="649" t="s">
        <v>243</v>
      </c>
      <c r="B11" s="1613">
        <v>30145</v>
      </c>
      <c r="C11" s="1613">
        <v>6354</v>
      </c>
      <c r="D11" s="1613">
        <v>36499</v>
      </c>
      <c r="E11" s="1614">
        <f t="shared" si="7"/>
        <v>-2.7911684022691508E-2</v>
      </c>
      <c r="F11" s="1613">
        <v>29622</v>
      </c>
      <c r="G11" s="1613">
        <v>5054</v>
      </c>
      <c r="H11" s="1613">
        <v>34676</v>
      </c>
      <c r="I11" s="1614">
        <f t="shared" si="3"/>
        <v>2.7863410007114009E-2</v>
      </c>
      <c r="J11" s="1615">
        <f t="shared" si="0"/>
        <v>59767</v>
      </c>
      <c r="K11" s="1620">
        <f t="shared" si="4"/>
        <v>-6.3539837806203536E-4</v>
      </c>
      <c r="L11" s="1613">
        <f t="shared" si="1"/>
        <v>11408</v>
      </c>
      <c r="M11" s="1614">
        <f t="shared" si="5"/>
        <v>-6.0986234535633788E-3</v>
      </c>
      <c r="N11" s="1621">
        <f t="shared" si="2"/>
        <v>71175</v>
      </c>
      <c r="O11" s="1614">
        <f t="shared" si="6"/>
        <v>-1.5150877488321335E-3</v>
      </c>
      <c r="Q11" s="161"/>
      <c r="R11" s="161"/>
    </row>
    <row r="12" spans="1:18" s="157" customFormat="1" ht="22.5" customHeight="1">
      <c r="A12" s="650" t="s">
        <v>54</v>
      </c>
      <c r="B12" s="1616">
        <v>30313</v>
      </c>
      <c r="C12" s="1616">
        <v>6361</v>
      </c>
      <c r="D12" s="1616">
        <v>36674</v>
      </c>
      <c r="E12" s="1617">
        <f t="shared" si="7"/>
        <v>4.7946519082715522E-3</v>
      </c>
      <c r="F12" s="1616">
        <v>29523</v>
      </c>
      <c r="G12" s="1616">
        <v>5008</v>
      </c>
      <c r="H12" s="1616">
        <v>34531</v>
      </c>
      <c r="I12" s="1617">
        <f t="shared" si="3"/>
        <v>-4.1815665013266168E-3</v>
      </c>
      <c r="J12" s="1618">
        <f t="shared" si="0"/>
        <v>59836</v>
      </c>
      <c r="K12" s="1619">
        <f t="shared" si="4"/>
        <v>1.1544832432612839E-3</v>
      </c>
      <c r="L12" s="1616">
        <f t="shared" si="1"/>
        <v>11369</v>
      </c>
      <c r="M12" s="1617">
        <f t="shared" si="5"/>
        <v>-3.4186535764375581E-3</v>
      </c>
      <c r="N12" s="1622">
        <f t="shared" si="2"/>
        <v>71205</v>
      </c>
      <c r="O12" s="1617">
        <f t="shared" si="6"/>
        <v>4.2149631190735448E-4</v>
      </c>
      <c r="Q12" s="161"/>
      <c r="R12" s="161"/>
    </row>
    <row r="13" spans="1:18" s="157" customFormat="1" ht="22.5" customHeight="1">
      <c r="A13" s="649" t="s">
        <v>56</v>
      </c>
      <c r="B13" s="1613">
        <v>30576</v>
      </c>
      <c r="C13" s="1613">
        <v>6385</v>
      </c>
      <c r="D13" s="1613">
        <v>36961</v>
      </c>
      <c r="E13" s="1614">
        <f t="shared" si="7"/>
        <v>7.8257075857555147E-3</v>
      </c>
      <c r="F13" s="1613">
        <v>29439</v>
      </c>
      <c r="G13" s="1613">
        <v>4944</v>
      </c>
      <c r="H13" s="1613">
        <v>34383</v>
      </c>
      <c r="I13" s="1614">
        <f t="shared" si="3"/>
        <v>-4.2860038805710987E-3</v>
      </c>
      <c r="J13" s="1615">
        <f t="shared" si="0"/>
        <v>60015</v>
      </c>
      <c r="K13" s="1620">
        <f t="shared" si="4"/>
        <v>2.9915101276822842E-3</v>
      </c>
      <c r="L13" s="1613">
        <f t="shared" si="1"/>
        <v>11329</v>
      </c>
      <c r="M13" s="1614">
        <f t="shared" si="5"/>
        <v>-3.5183393438297239E-3</v>
      </c>
      <c r="N13" s="1621">
        <f t="shared" si="2"/>
        <v>71344</v>
      </c>
      <c r="O13" s="1614">
        <f t="shared" si="6"/>
        <v>1.9521101046275913E-3</v>
      </c>
      <c r="Q13" s="161"/>
      <c r="R13" s="161"/>
    </row>
    <row r="14" spans="1:18" s="157" customFormat="1" ht="22.5" customHeight="1">
      <c r="A14" s="650" t="s">
        <v>68</v>
      </c>
      <c r="B14" s="1616">
        <v>30586</v>
      </c>
      <c r="C14" s="1616">
        <v>6016</v>
      </c>
      <c r="D14" s="1616">
        <v>36602</v>
      </c>
      <c r="E14" s="1617">
        <f t="shared" si="7"/>
        <v>-9.7129406671897511E-3</v>
      </c>
      <c r="F14" s="1616">
        <v>29228</v>
      </c>
      <c r="G14" s="1616">
        <v>4407</v>
      </c>
      <c r="H14" s="1616">
        <v>33635</v>
      </c>
      <c r="I14" s="1617">
        <f t="shared" si="3"/>
        <v>-2.1754937032836041E-2</v>
      </c>
      <c r="J14" s="1618">
        <f t="shared" si="0"/>
        <v>59814</v>
      </c>
      <c r="K14" s="1619">
        <f t="shared" si="4"/>
        <v>-3.3491627093226173E-3</v>
      </c>
      <c r="L14" s="1616">
        <f t="shared" si="1"/>
        <v>10423</v>
      </c>
      <c r="M14" s="1617">
        <f t="shared" si="5"/>
        <v>-7.9971753905905163E-2</v>
      </c>
      <c r="N14" s="1622">
        <f t="shared" si="2"/>
        <v>70237</v>
      </c>
      <c r="O14" s="1617">
        <f t="shared" si="6"/>
        <v>-1.5516371383718308E-2</v>
      </c>
      <c r="Q14" s="161"/>
      <c r="R14" s="161"/>
    </row>
    <row r="15" spans="1:18" s="157" customFormat="1" ht="22.5" customHeight="1">
      <c r="A15" s="649" t="s">
        <v>69</v>
      </c>
      <c r="B15" s="1613">
        <v>30689</v>
      </c>
      <c r="C15" s="1613">
        <v>6277</v>
      </c>
      <c r="D15" s="1613">
        <v>36966</v>
      </c>
      <c r="E15" s="1614">
        <f t="shared" si="7"/>
        <v>9.9448117589202578E-3</v>
      </c>
      <c r="F15" s="1613">
        <v>29025</v>
      </c>
      <c r="G15" s="1613">
        <v>4921</v>
      </c>
      <c r="H15" s="1613">
        <v>33946</v>
      </c>
      <c r="I15" s="1614">
        <f t="shared" si="3"/>
        <v>9.2463207967889982E-3</v>
      </c>
      <c r="J15" s="1615">
        <f t="shared" si="0"/>
        <v>59714</v>
      </c>
      <c r="K15" s="1620">
        <f t="shared" si="4"/>
        <v>-1.6718493998060246E-3</v>
      </c>
      <c r="L15" s="1613">
        <f t="shared" si="1"/>
        <v>11198</v>
      </c>
      <c r="M15" s="1614">
        <f t="shared" si="5"/>
        <v>7.4354792286289939E-2</v>
      </c>
      <c r="N15" s="1621">
        <f t="shared" si="2"/>
        <v>70912</v>
      </c>
      <c r="O15" s="1614">
        <f t="shared" si="6"/>
        <v>9.6103193473524584E-3</v>
      </c>
      <c r="Q15" s="161"/>
      <c r="R15" s="161"/>
    </row>
    <row r="16" spans="1:18" s="157" customFormat="1" ht="22.5" customHeight="1">
      <c r="A16" s="650" t="s">
        <v>248</v>
      </c>
      <c r="B16" s="1616">
        <v>30731</v>
      </c>
      <c r="C16" s="1616">
        <v>6317</v>
      </c>
      <c r="D16" s="1616">
        <v>37048</v>
      </c>
      <c r="E16" s="1617">
        <f t="shared" si="7"/>
        <v>2.2182546123463709E-3</v>
      </c>
      <c r="F16" s="1616">
        <v>28845</v>
      </c>
      <c r="G16" s="1616">
        <v>4858</v>
      </c>
      <c r="H16" s="1616">
        <v>33703</v>
      </c>
      <c r="I16" s="1617">
        <f t="shared" si="3"/>
        <v>-7.1584280916749954E-3</v>
      </c>
      <c r="J16" s="1618">
        <f t="shared" si="0"/>
        <v>59576</v>
      </c>
      <c r="K16" s="1619">
        <f t="shared" si="4"/>
        <v>-2.3110158421810745E-3</v>
      </c>
      <c r="L16" s="1616">
        <f t="shared" si="1"/>
        <v>11175</v>
      </c>
      <c r="M16" s="1617">
        <f t="shared" si="5"/>
        <v>-2.0539382032506159E-3</v>
      </c>
      <c r="N16" s="1616">
        <f t="shared" si="2"/>
        <v>70751</v>
      </c>
      <c r="O16" s="1617">
        <f t="shared" si="6"/>
        <v>-2.2704196750902295E-3</v>
      </c>
      <c r="Q16" s="161"/>
      <c r="R16" s="161"/>
    </row>
    <row r="17" spans="1:18" s="157" customFormat="1" ht="22.5" customHeight="1">
      <c r="A17" s="649" t="s">
        <v>244</v>
      </c>
      <c r="B17" s="1613">
        <v>30848</v>
      </c>
      <c r="C17" s="1613">
        <v>6357</v>
      </c>
      <c r="D17" s="1613">
        <v>37205</v>
      </c>
      <c r="E17" s="1614">
        <f t="shared" si="7"/>
        <v>4.2377456272943981E-3</v>
      </c>
      <c r="F17" s="1613">
        <v>28466</v>
      </c>
      <c r="G17" s="1613">
        <v>4813</v>
      </c>
      <c r="H17" s="1613">
        <v>33279</v>
      </c>
      <c r="I17" s="1614">
        <f t="shared" si="3"/>
        <v>-1.2580482449633612E-2</v>
      </c>
      <c r="J17" s="1615">
        <f t="shared" si="0"/>
        <v>59314</v>
      </c>
      <c r="K17" s="1620">
        <f t="shared" si="4"/>
        <v>-4.3977440580099669E-3</v>
      </c>
      <c r="L17" s="1613">
        <f t="shared" si="1"/>
        <v>11170</v>
      </c>
      <c r="M17" s="1614">
        <f t="shared" si="5"/>
        <v>-4.4742729306490592E-4</v>
      </c>
      <c r="N17" s="1613">
        <f t="shared" si="2"/>
        <v>70484</v>
      </c>
      <c r="O17" s="1614">
        <f t="shared" si="6"/>
        <v>-3.77379825020141E-3</v>
      </c>
      <c r="Q17" s="161"/>
      <c r="R17" s="161"/>
    </row>
    <row r="18" spans="1:18" s="157" customFormat="1" ht="22.5" customHeight="1">
      <c r="A18" s="1639" t="s">
        <v>249</v>
      </c>
      <c r="B18" s="1640">
        <v>30792</v>
      </c>
      <c r="C18" s="1640">
        <v>6388</v>
      </c>
      <c r="D18" s="1640">
        <v>37180</v>
      </c>
      <c r="E18" s="1641">
        <f t="shared" si="7"/>
        <v>-6.7195269453035333E-4</v>
      </c>
      <c r="F18" s="1640">
        <v>28279</v>
      </c>
      <c r="G18" s="1640">
        <v>4794</v>
      </c>
      <c r="H18" s="1640">
        <v>33073</v>
      </c>
      <c r="I18" s="1641">
        <f t="shared" si="3"/>
        <v>-6.1900898464497534E-3</v>
      </c>
      <c r="J18" s="1618">
        <f t="shared" si="0"/>
        <v>59071</v>
      </c>
      <c r="K18" s="1642">
        <f t="shared" si="4"/>
        <v>-4.0968405435478639E-3</v>
      </c>
      <c r="L18" s="1640">
        <f t="shared" si="1"/>
        <v>11182</v>
      </c>
      <c r="M18" s="1641">
        <f t="shared" si="5"/>
        <v>1.0743061772604534E-3</v>
      </c>
      <c r="N18" s="1616">
        <f t="shared" si="2"/>
        <v>70253</v>
      </c>
      <c r="O18" s="1641">
        <f t="shared" si="6"/>
        <v>-3.2773395380512049E-3</v>
      </c>
      <c r="Q18" s="161"/>
      <c r="R18" s="161"/>
    </row>
    <row r="19" spans="1:18" s="157" customFormat="1" ht="25.5" customHeight="1">
      <c r="A19" s="2111" t="s">
        <v>250</v>
      </c>
      <c r="B19" s="1623">
        <f>AVERAGE(B7:B18)</f>
        <v>30526.333333333332</v>
      </c>
      <c r="C19" s="1623">
        <f t="shared" ref="C19:N19" si="8">AVERAGE(C7:C18)</f>
        <v>6313.75</v>
      </c>
      <c r="D19" s="1623">
        <f t="shared" si="8"/>
        <v>36840.083333333336</v>
      </c>
      <c r="E19" s="1624">
        <f>AVERAGE(E7:E18)</f>
        <v>3.2550930107975071E-3</v>
      </c>
      <c r="F19" s="1623">
        <f t="shared" si="8"/>
        <v>29287</v>
      </c>
      <c r="G19" s="1623">
        <f t="shared" si="8"/>
        <v>4853.416666666667</v>
      </c>
      <c r="H19" s="1623">
        <f t="shared" si="8"/>
        <v>34140.416666666664</v>
      </c>
      <c r="I19" s="1625">
        <f>AVERAGE(I7:I18)</f>
        <v>-6.5398372796003539E-3</v>
      </c>
      <c r="J19" s="1623">
        <f t="shared" si="8"/>
        <v>59813.333333333336</v>
      </c>
      <c r="K19" s="1624">
        <f>AVERAGE(K7:K18)</f>
        <v>-1.2493820671776457E-3</v>
      </c>
      <c r="L19" s="1623">
        <f t="shared" si="8"/>
        <v>11167.166666666666</v>
      </c>
      <c r="M19" s="1624">
        <f>AVERAGE(M7:M18)</f>
        <v>-2.7104596992038321E-3</v>
      </c>
      <c r="N19" s="1626">
        <f t="shared" si="8"/>
        <v>70980.5</v>
      </c>
      <c r="O19" s="1627">
        <f>AVERAGE(O7:O18)</f>
        <v>-1.6578560981196551E-3</v>
      </c>
    </row>
    <row r="20" spans="1:18" s="157" customFormat="1" ht="25.5" customHeight="1" thickBot="1">
      <c r="A20" s="2112"/>
      <c r="B20" s="1628">
        <f>+B19/D19</f>
        <v>0.82861738007288244</v>
      </c>
      <c r="C20" s="1628">
        <f>+C19/D19</f>
        <v>0.17138261992711742</v>
      </c>
      <c r="D20" s="1628">
        <f>SUM(B20:C20)</f>
        <v>0.99999999999999989</v>
      </c>
      <c r="E20" s="1629"/>
      <c r="F20" s="1628">
        <f>+F19/H19</f>
        <v>0.85783955966169134</v>
      </c>
      <c r="G20" s="1628">
        <f>+G19/H19</f>
        <v>0.14216044033830871</v>
      </c>
      <c r="H20" s="1628">
        <f>SUM(F20:G20)</f>
        <v>1</v>
      </c>
      <c r="I20" s="1629"/>
      <c r="J20" s="1628">
        <f>+J19/N19</f>
        <v>0.84267275284526499</v>
      </c>
      <c r="K20" s="1628"/>
      <c r="L20" s="1628">
        <f>+L19/N19</f>
        <v>0.15732724715473498</v>
      </c>
      <c r="M20" s="1394"/>
      <c r="N20" s="1630"/>
      <c r="O20" s="1631"/>
      <c r="Q20" s="161"/>
    </row>
    <row r="21" spans="1:18" s="157" customFormat="1" ht="25.5" customHeight="1" thickBot="1">
      <c r="A21" s="2113"/>
      <c r="B21" s="2122">
        <f>+D19/N19</f>
        <v>0.51901696005710496</v>
      </c>
      <c r="C21" s="2122"/>
      <c r="D21" s="2122"/>
      <c r="E21" s="1629"/>
      <c r="F21" s="2122">
        <f>+H19/N19</f>
        <v>0.4809830399428951</v>
      </c>
      <c r="G21" s="2122"/>
      <c r="H21" s="2122"/>
      <c r="I21" s="1629"/>
      <c r="J21" s="2122">
        <f>+J20+L20</f>
        <v>1</v>
      </c>
      <c r="K21" s="2122"/>
      <c r="L21" s="2122"/>
      <c r="M21" s="1394"/>
      <c r="N21" s="1394"/>
      <c r="O21" s="1631"/>
      <c r="Q21" s="162"/>
    </row>
    <row r="23" spans="1:18" s="690" customFormat="1"/>
    <row r="24" spans="1:18" ht="16.5" thickBot="1">
      <c r="A24" s="2108" t="s">
        <v>845</v>
      </c>
      <c r="B24" s="2108"/>
      <c r="C24" s="2108"/>
      <c r="D24" s="2108"/>
      <c r="E24" s="2108"/>
      <c r="F24" s="2108"/>
      <c r="G24" s="2108"/>
      <c r="H24" s="2108"/>
      <c r="I24" s="2108"/>
      <c r="J24" s="2108"/>
      <c r="K24" s="2108"/>
      <c r="L24" s="2108"/>
      <c r="M24" s="2108"/>
      <c r="N24" s="2108"/>
      <c r="P24" s="15"/>
    </row>
    <row r="25" spans="1:18" ht="26.25" customHeight="1">
      <c r="A25" s="1632" t="s">
        <v>695</v>
      </c>
      <c r="B25" s="1633" t="s">
        <v>252</v>
      </c>
      <c r="C25" s="1633" t="s">
        <v>253</v>
      </c>
      <c r="D25" s="1633" t="s">
        <v>254</v>
      </c>
      <c r="E25" s="1633" t="s">
        <v>255</v>
      </c>
      <c r="F25" s="1633" t="s">
        <v>256</v>
      </c>
      <c r="G25" s="1633" t="s">
        <v>257</v>
      </c>
      <c r="H25" s="1633" t="s">
        <v>258</v>
      </c>
      <c r="I25" s="1633" t="s">
        <v>259</v>
      </c>
      <c r="J25" s="1633" t="s">
        <v>260</v>
      </c>
      <c r="K25" s="1633" t="s">
        <v>261</v>
      </c>
      <c r="L25" s="1633" t="s">
        <v>240</v>
      </c>
      <c r="M25" s="1633" t="s">
        <v>241</v>
      </c>
      <c r="N25" s="1634" t="s">
        <v>641</v>
      </c>
      <c r="O25" s="609"/>
    </row>
    <row r="26" spans="1:18" ht="25.5" customHeight="1">
      <c r="A26" s="665" t="s">
        <v>408</v>
      </c>
      <c r="B26" s="666">
        <f>+N7</f>
        <v>71532</v>
      </c>
      <c r="C26" s="666">
        <f>+N8</f>
        <v>71454</v>
      </c>
      <c r="D26" s="666">
        <f>+N9</f>
        <v>71136</v>
      </c>
      <c r="E26" s="666">
        <f>+N10</f>
        <v>71283</v>
      </c>
      <c r="F26" s="666">
        <f>+N11</f>
        <v>71175</v>
      </c>
      <c r="G26" s="666">
        <f>+N12</f>
        <v>71205</v>
      </c>
      <c r="H26" s="666">
        <f>+N13</f>
        <v>71344</v>
      </c>
      <c r="I26" s="666">
        <f>+N14</f>
        <v>70237</v>
      </c>
      <c r="J26" s="666">
        <f>+N15</f>
        <v>70912</v>
      </c>
      <c r="K26" s="666">
        <f>+N16</f>
        <v>70751</v>
      </c>
      <c r="L26" s="666">
        <f>+N17</f>
        <v>70484</v>
      </c>
      <c r="M26" s="666">
        <f>+N18</f>
        <v>70253</v>
      </c>
      <c r="N26" s="1635">
        <f>AVERAGE(B26:M26)</f>
        <v>70980.5</v>
      </c>
      <c r="O26" s="1023"/>
      <c r="P26" s="15"/>
    </row>
    <row r="27" spans="1:18" ht="25.5" customHeight="1" thickBot="1">
      <c r="A27" s="1636" t="s">
        <v>397</v>
      </c>
      <c r="B27" s="1637">
        <v>92189</v>
      </c>
      <c r="C27" s="1637">
        <v>92184</v>
      </c>
      <c r="D27" s="1637">
        <v>91876</v>
      </c>
      <c r="E27" s="1637">
        <v>92107</v>
      </c>
      <c r="F27" s="1637">
        <v>92118</v>
      </c>
      <c r="G27" s="1637">
        <v>92320</v>
      </c>
      <c r="H27" s="1637">
        <v>92501</v>
      </c>
      <c r="I27" s="1637">
        <v>91046</v>
      </c>
      <c r="J27" s="1637">
        <v>92347</v>
      </c>
      <c r="K27" s="1637">
        <v>92049</v>
      </c>
      <c r="L27" s="1637">
        <v>91518</v>
      </c>
      <c r="M27" s="1637">
        <v>91290</v>
      </c>
      <c r="N27" s="1638">
        <f>AVERAGE(B27:M27)</f>
        <v>91962.083333333328</v>
      </c>
      <c r="O27" s="1023"/>
      <c r="P27" s="15"/>
    </row>
    <row r="28" spans="1:18" ht="18" customHeight="1">
      <c r="A28" s="1008"/>
      <c r="B28" s="1023" t="e">
        <f>+B27*1/A28-1</f>
        <v>#DIV/0!</v>
      </c>
      <c r="C28" s="1023">
        <f>+C27*1/B27-1</f>
        <v>-5.4236405644947361E-5</v>
      </c>
      <c r="D28" s="1023">
        <f t="shared" ref="D28:M28" si="9">+D27*1/C27-1</f>
        <v>-3.341143799357793E-3</v>
      </c>
      <c r="E28" s="1023">
        <f t="shared" si="9"/>
        <v>2.514258348208509E-3</v>
      </c>
      <c r="F28" s="1023">
        <f t="shared" si="9"/>
        <v>1.1942631938932635E-4</v>
      </c>
      <c r="G28" s="1023">
        <f t="shared" si="9"/>
        <v>2.1928396187498311E-3</v>
      </c>
      <c r="H28" s="1023">
        <f t="shared" si="9"/>
        <v>1.9605719237434371E-3</v>
      </c>
      <c r="I28" s="1023">
        <f t="shared" si="9"/>
        <v>-1.5729559680435878E-2</v>
      </c>
      <c r="J28" s="1023">
        <f t="shared" si="9"/>
        <v>1.4289480043055081E-2</v>
      </c>
      <c r="K28" s="1023">
        <f t="shared" si="9"/>
        <v>-3.2269591865463632E-3</v>
      </c>
      <c r="L28" s="1023">
        <f t="shared" si="9"/>
        <v>-5.7686666883942639E-3</v>
      </c>
      <c r="M28" s="1023">
        <f t="shared" si="9"/>
        <v>-2.4913131842916325E-3</v>
      </c>
      <c r="N28" s="1024" t="e">
        <f>AVERAGE(B28,C28,D28,E28,F28,G28,H28,I28,J28,K28,L28,M28)</f>
        <v>#DIV/0!</v>
      </c>
      <c r="O28" s="609"/>
    </row>
    <row r="30" spans="1:18" ht="15.75">
      <c r="A30" s="2072" t="s">
        <v>843</v>
      </c>
      <c r="B30" s="1890"/>
      <c r="C30" s="1890"/>
      <c r="D30" s="1890"/>
      <c r="E30" s="1890"/>
      <c r="F30" s="1890"/>
      <c r="G30" s="1890"/>
      <c r="H30" s="1890"/>
      <c r="I30" s="1890"/>
      <c r="J30" s="1890"/>
      <c r="K30" s="1890"/>
      <c r="L30" s="1890"/>
      <c r="M30" s="1890"/>
    </row>
    <row r="31" spans="1:18" ht="14.25" customHeight="1" thickBot="1">
      <c r="A31">
        <v>52937</v>
      </c>
    </row>
    <row r="32" spans="1:18" s="218" customFormat="1" ht="30" customHeight="1">
      <c r="A32" s="2106" t="s">
        <v>315</v>
      </c>
      <c r="B32" s="2104">
        <v>2017</v>
      </c>
      <c r="C32" s="2105"/>
      <c r="D32" s="2104">
        <v>2018</v>
      </c>
      <c r="E32" s="2105"/>
      <c r="F32" s="2104">
        <v>2019</v>
      </c>
      <c r="G32" s="2105"/>
      <c r="H32" s="2104">
        <v>2020</v>
      </c>
      <c r="I32" s="2105"/>
      <c r="J32" s="2104">
        <v>2021</v>
      </c>
      <c r="K32" s="2105"/>
      <c r="L32" s="1755" t="s">
        <v>304</v>
      </c>
      <c r="M32" s="1756"/>
    </row>
    <row r="33" spans="1:15" s="218" customFormat="1" ht="30" customHeight="1">
      <c r="A33" s="2107"/>
      <c r="B33" s="1003" t="s">
        <v>233</v>
      </c>
      <c r="C33" s="1003" t="s">
        <v>406</v>
      </c>
      <c r="D33" s="1003" t="s">
        <v>233</v>
      </c>
      <c r="E33" s="1003" t="s">
        <v>406</v>
      </c>
      <c r="F33" s="1003" t="s">
        <v>233</v>
      </c>
      <c r="G33" s="1003" t="s">
        <v>406</v>
      </c>
      <c r="H33" s="1003" t="s">
        <v>233</v>
      </c>
      <c r="I33" s="1003" t="s">
        <v>406</v>
      </c>
      <c r="J33" s="1003" t="s">
        <v>233</v>
      </c>
      <c r="K33" s="1003" t="s">
        <v>406</v>
      </c>
      <c r="L33" s="1003" t="s">
        <v>233</v>
      </c>
      <c r="M33" s="1025" t="s">
        <v>406</v>
      </c>
      <c r="O33" s="608"/>
    </row>
    <row r="34" spans="1:15" s="218" customFormat="1" ht="30.75" customHeight="1">
      <c r="A34" s="665" t="s">
        <v>299</v>
      </c>
      <c r="B34" s="666">
        <v>26189</v>
      </c>
      <c r="C34" s="667">
        <f>+B34/B36</f>
        <v>0.44849553884883464</v>
      </c>
      <c r="D34" s="666">
        <v>28746</v>
      </c>
      <c r="E34" s="667">
        <f>+D34/D36</f>
        <v>0.47425469783709767</v>
      </c>
      <c r="F34" s="666">
        <v>30761</v>
      </c>
      <c r="G34" s="667">
        <f>+F34/F36</f>
        <v>0.49137407750551099</v>
      </c>
      <c r="H34" s="666">
        <v>35825</v>
      </c>
      <c r="I34" s="667">
        <f>+H34/H36</f>
        <v>0.49979770923143457</v>
      </c>
      <c r="J34" s="666">
        <f>+D18</f>
        <v>37180</v>
      </c>
      <c r="K34" s="667">
        <f>+J34/J36</f>
        <v>0.52923006846682707</v>
      </c>
      <c r="L34" s="666">
        <f>AVERAGE(B34,D34,F34,H34,J34)</f>
        <v>31740.2</v>
      </c>
      <c r="M34" s="668">
        <f>+L34/L36</f>
        <v>0.49051431044074922</v>
      </c>
      <c r="O34" s="15"/>
    </row>
    <row r="35" spans="1:15" s="218" customFormat="1" ht="30.75" customHeight="1">
      <c r="A35" s="669" t="s">
        <v>50</v>
      </c>
      <c r="B35" s="670">
        <v>32204</v>
      </c>
      <c r="C35" s="671">
        <f>+B35/B36</f>
        <v>0.55150446115116536</v>
      </c>
      <c r="D35" s="670">
        <v>31867</v>
      </c>
      <c r="E35" s="671">
        <f>+D35/D36</f>
        <v>0.52574530216290238</v>
      </c>
      <c r="F35" s="670">
        <v>31841</v>
      </c>
      <c r="G35" s="671">
        <f>+F35/F36</f>
        <v>0.50862592249448901</v>
      </c>
      <c r="H35" s="670">
        <v>35854</v>
      </c>
      <c r="I35" s="671">
        <f>+H35/H36</f>
        <v>0.50020229076856537</v>
      </c>
      <c r="J35" s="670">
        <f>+H18</f>
        <v>33073</v>
      </c>
      <c r="K35" s="671">
        <f>+J35/J36</f>
        <v>0.47076993153317298</v>
      </c>
      <c r="L35" s="670">
        <f>AVERAGE(B35,D35,F35,H35,J35)</f>
        <v>32967.800000000003</v>
      </c>
      <c r="M35" s="672">
        <f>+L35/L36</f>
        <v>0.50948568955925089</v>
      </c>
      <c r="O35" s="15"/>
    </row>
    <row r="36" spans="1:15" s="218" customFormat="1" ht="31.5" customHeight="1">
      <c r="A36" s="673" t="s">
        <v>6</v>
      </c>
      <c r="B36" s="674">
        <f t="shared" ref="B36:M36" si="10">SUM(B34:B35)</f>
        <v>58393</v>
      </c>
      <c r="C36" s="675">
        <f t="shared" si="10"/>
        <v>1</v>
      </c>
      <c r="D36" s="674">
        <f t="shared" si="10"/>
        <v>60613</v>
      </c>
      <c r="E36" s="675">
        <f t="shared" si="10"/>
        <v>1</v>
      </c>
      <c r="F36" s="674">
        <f t="shared" si="10"/>
        <v>62602</v>
      </c>
      <c r="G36" s="675">
        <f t="shared" si="10"/>
        <v>1</v>
      </c>
      <c r="H36" s="674">
        <f t="shared" si="10"/>
        <v>71679</v>
      </c>
      <c r="I36" s="675">
        <f t="shared" si="10"/>
        <v>1</v>
      </c>
      <c r="J36" s="674">
        <f t="shared" si="10"/>
        <v>70253</v>
      </c>
      <c r="K36" s="675">
        <f t="shared" si="10"/>
        <v>1</v>
      </c>
      <c r="L36" s="1327">
        <f t="shared" si="10"/>
        <v>64708</v>
      </c>
      <c r="M36" s="1314">
        <f t="shared" si="10"/>
        <v>1</v>
      </c>
      <c r="O36" s="15"/>
    </row>
    <row r="37" spans="1:15" s="218" customFormat="1" ht="31.5" customHeight="1" thickBot="1">
      <c r="A37" s="676" t="s">
        <v>316</v>
      </c>
      <c r="B37" s="2123">
        <f>+B36*1/A31-1</f>
        <v>0.1030659085327843</v>
      </c>
      <c r="C37" s="2124"/>
      <c r="D37" s="2123">
        <f>+D36*1/B36-1</f>
        <v>3.8018255612830343E-2</v>
      </c>
      <c r="E37" s="2124"/>
      <c r="F37" s="2123">
        <f>+F36*1/D36-1</f>
        <v>3.2814742711959388E-2</v>
      </c>
      <c r="G37" s="2124"/>
      <c r="H37" s="2123">
        <f>+H36*1/F36-1</f>
        <v>0.14499536756014186</v>
      </c>
      <c r="I37" s="2124"/>
      <c r="J37" s="2125">
        <f>+J36*1/H36-1</f>
        <v>-1.9894250756846477E-2</v>
      </c>
      <c r="K37" s="2125"/>
      <c r="L37" s="1328"/>
      <c r="M37" s="677"/>
    </row>
    <row r="138" spans="7:28">
      <c r="G138" s="120">
        <f>SUM(G3:G137)</f>
        <v>231959.56101994665</v>
      </c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</row>
  </sheetData>
  <mergeCells count="25">
    <mergeCell ref="N5:N6"/>
    <mergeCell ref="B21:D21"/>
    <mergeCell ref="F21:H21"/>
    <mergeCell ref="J21:L21"/>
    <mergeCell ref="B37:C37"/>
    <mergeCell ref="D37:E37"/>
    <mergeCell ref="F37:G37"/>
    <mergeCell ref="H37:I37"/>
    <mergeCell ref="J37:K37"/>
    <mergeCell ref="A2:O2"/>
    <mergeCell ref="A30:M30"/>
    <mergeCell ref="J32:K32"/>
    <mergeCell ref="L32:M32"/>
    <mergeCell ref="A32:A33"/>
    <mergeCell ref="B32:C32"/>
    <mergeCell ref="D32:E32"/>
    <mergeCell ref="F32:G32"/>
    <mergeCell ref="H32:I32"/>
    <mergeCell ref="A24:N24"/>
    <mergeCell ref="O5:O6"/>
    <mergeCell ref="A19:A21"/>
    <mergeCell ref="A5:A6"/>
    <mergeCell ref="B5:E5"/>
    <mergeCell ref="F5:I5"/>
    <mergeCell ref="J5:M5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rgb="FF009900"/>
  </sheetPr>
  <dimension ref="A1:AB159"/>
  <sheetViews>
    <sheetView showGridLines="0" zoomScale="60" zoomScaleNormal="60" workbookViewId="0">
      <selection activeCell="S25" sqref="S25"/>
    </sheetView>
  </sheetViews>
  <sheetFormatPr baseColWidth="10" defaultRowHeight="15"/>
  <cols>
    <col min="1" max="1" width="29.5703125" customWidth="1"/>
    <col min="2" max="4" width="13.140625" customWidth="1"/>
    <col min="5" max="5" width="14.140625" customWidth="1"/>
    <col min="6" max="8" width="13.140625" customWidth="1"/>
    <col min="9" max="9" width="14.85546875" customWidth="1"/>
    <col min="10" max="12" width="13.140625" customWidth="1"/>
    <col min="13" max="13" width="14.28515625" customWidth="1"/>
    <col min="14" max="14" width="18.42578125" customWidth="1"/>
    <col min="15" max="15" width="15.7109375" customWidth="1"/>
    <col min="19" max="19" width="8.42578125" customWidth="1"/>
  </cols>
  <sheetData>
    <row r="1" spans="1:15">
      <c r="J1" s="15"/>
    </row>
    <row r="2" spans="1:15" ht="15.75">
      <c r="A2" s="1890" t="s">
        <v>848</v>
      </c>
      <c r="B2" s="1890"/>
      <c r="C2" s="1890"/>
      <c r="D2" s="1890"/>
      <c r="E2" s="1890"/>
      <c r="F2" s="1890"/>
      <c r="G2" s="1890"/>
      <c r="H2" s="1890"/>
      <c r="I2" s="1890"/>
      <c r="J2" s="1890"/>
      <c r="K2" s="1890"/>
      <c r="L2" s="1890"/>
      <c r="M2" s="1890"/>
      <c r="N2" s="1890"/>
      <c r="O2" s="1890"/>
    </row>
    <row r="4" spans="1:15" ht="15.75" thickBot="1">
      <c r="A4">
        <v>2020</v>
      </c>
      <c r="B4">
        <v>1001</v>
      </c>
      <c r="C4">
        <v>153</v>
      </c>
      <c r="D4">
        <v>1154</v>
      </c>
      <c r="E4">
        <v>-6.0292850990525393E-3</v>
      </c>
      <c r="F4">
        <v>3203</v>
      </c>
      <c r="G4">
        <v>584</v>
      </c>
      <c r="H4">
        <v>3787</v>
      </c>
      <c r="I4">
        <v>-9.157509157509125E-3</v>
      </c>
      <c r="J4">
        <v>4204</v>
      </c>
      <c r="K4">
        <v>-9.4250706880301127E-3</v>
      </c>
      <c r="L4">
        <v>737</v>
      </c>
      <c r="M4">
        <v>-2.7063599458727605E-3</v>
      </c>
      <c r="N4">
        <v>4941</v>
      </c>
      <c r="O4">
        <v>-8.4286574352799848E-3</v>
      </c>
    </row>
    <row r="5" spans="1:15" s="157" customFormat="1" ht="27.75" customHeight="1">
      <c r="A5" s="2114" t="s">
        <v>32</v>
      </c>
      <c r="B5" s="2116" t="s">
        <v>8</v>
      </c>
      <c r="C5" s="2117"/>
      <c r="D5" s="2117"/>
      <c r="E5" s="2118"/>
      <c r="F5" s="2116" t="s">
        <v>9</v>
      </c>
      <c r="G5" s="2117"/>
      <c r="H5" s="2117"/>
      <c r="I5" s="2117"/>
      <c r="J5" s="2119" t="s">
        <v>421</v>
      </c>
      <c r="K5" s="2119"/>
      <c r="L5" s="2119"/>
      <c r="M5" s="2119"/>
      <c r="N5" s="2120" t="s">
        <v>696</v>
      </c>
      <c r="O5" s="2109" t="s">
        <v>33</v>
      </c>
    </row>
    <row r="6" spans="1:15" s="157" customFormat="1" ht="40.5" customHeight="1">
      <c r="A6" s="2115"/>
      <c r="B6" s="678" t="s">
        <v>812</v>
      </c>
      <c r="C6" s="678" t="s">
        <v>811</v>
      </c>
      <c r="D6" s="678" t="s">
        <v>17</v>
      </c>
      <c r="E6" s="678" t="s">
        <v>33</v>
      </c>
      <c r="F6" s="678" t="s">
        <v>812</v>
      </c>
      <c r="G6" s="678" t="s">
        <v>811</v>
      </c>
      <c r="H6" s="678" t="s">
        <v>17</v>
      </c>
      <c r="I6" s="678" t="s">
        <v>33</v>
      </c>
      <c r="J6" s="678" t="s">
        <v>812</v>
      </c>
      <c r="K6" s="678" t="s">
        <v>33</v>
      </c>
      <c r="L6" s="678" t="s">
        <v>811</v>
      </c>
      <c r="M6" s="678" t="s">
        <v>33</v>
      </c>
      <c r="N6" s="2121"/>
      <c r="O6" s="2110"/>
    </row>
    <row r="7" spans="1:15" s="157" customFormat="1" ht="22.5" customHeight="1">
      <c r="A7" s="649" t="s">
        <v>247</v>
      </c>
      <c r="B7" s="1613">
        <v>1031</v>
      </c>
      <c r="C7" s="1613">
        <v>150</v>
      </c>
      <c r="D7" s="1613">
        <v>1181</v>
      </c>
      <c r="E7" s="1614">
        <f>+D7*1/D4-1</f>
        <v>2.3396880415944565E-2</v>
      </c>
      <c r="F7" s="1613">
        <v>3227</v>
      </c>
      <c r="G7" s="1613">
        <v>571</v>
      </c>
      <c r="H7" s="1613">
        <v>3798</v>
      </c>
      <c r="I7" s="1614">
        <f>+H7*1/H4-1</f>
        <v>2.9046738843412356E-3</v>
      </c>
      <c r="J7" s="1615">
        <f>+B7+F7</f>
        <v>4258</v>
      </c>
      <c r="K7" s="1614">
        <f>+J7*1/J4-1</f>
        <v>1.2844909609895261E-2</v>
      </c>
      <c r="L7" s="1613">
        <f t="shared" ref="L7:L18" si="0">+C7+G7</f>
        <v>721</v>
      </c>
      <c r="M7" s="1614">
        <f>+L7*1/L4-1</f>
        <v>-2.170963364993217E-2</v>
      </c>
      <c r="N7" s="1613">
        <f>+L7+J7</f>
        <v>4979</v>
      </c>
      <c r="O7" s="1614">
        <f>+N7*1/N4-1</f>
        <v>7.6907508601498087E-3</v>
      </c>
    </row>
    <row r="8" spans="1:15" s="157" customFormat="1" ht="22.5" customHeight="1">
      <c r="A8" s="650" t="s">
        <v>12</v>
      </c>
      <c r="B8" s="1616">
        <v>1025</v>
      </c>
      <c r="C8" s="1616">
        <v>149</v>
      </c>
      <c r="D8" s="1616">
        <v>1174</v>
      </c>
      <c r="E8" s="1617">
        <f>+D8*1/D7-1</f>
        <v>-5.9271803556307789E-3</v>
      </c>
      <c r="F8" s="1616">
        <v>3268</v>
      </c>
      <c r="G8" s="1616">
        <v>562</v>
      </c>
      <c r="H8" s="1616">
        <v>3830</v>
      </c>
      <c r="I8" s="1617">
        <f>+H8*1/H7-1</f>
        <v>8.4254870984727948E-3</v>
      </c>
      <c r="J8" s="1618">
        <f t="shared" ref="J8:J18" si="1">+B8+F8</f>
        <v>4293</v>
      </c>
      <c r="K8" s="1619">
        <f>+J8*1/J7-1</f>
        <v>8.2198215124471563E-3</v>
      </c>
      <c r="L8" s="1616">
        <f t="shared" si="0"/>
        <v>711</v>
      </c>
      <c r="M8" s="1617">
        <f>+L8*1/L7-1</f>
        <v>-1.3869625520110951E-2</v>
      </c>
      <c r="N8" s="1616">
        <f t="shared" ref="N8:N18" si="2">+L8+J8</f>
        <v>5004</v>
      </c>
      <c r="O8" s="1617">
        <f>+N8*1/N7-1</f>
        <v>5.0210885720023413E-3</v>
      </c>
    </row>
    <row r="9" spans="1:15" s="157" customFormat="1" ht="22.5" customHeight="1">
      <c r="A9" s="649" t="s">
        <v>13</v>
      </c>
      <c r="B9" s="1613">
        <v>983</v>
      </c>
      <c r="C9" s="1613">
        <v>138</v>
      </c>
      <c r="D9" s="1613">
        <v>1121</v>
      </c>
      <c r="E9" s="1614">
        <f t="shared" ref="E9:E18" si="3">+D9*1/D8-1</f>
        <v>-4.514480408858601E-2</v>
      </c>
      <c r="F9" s="1613">
        <v>3268</v>
      </c>
      <c r="G9" s="1613">
        <v>556</v>
      </c>
      <c r="H9" s="1613">
        <v>3824</v>
      </c>
      <c r="I9" s="1614">
        <f t="shared" ref="I9:I18" si="4">+H9*1/H8-1</f>
        <v>-1.5665796344647154E-3</v>
      </c>
      <c r="J9" s="1615">
        <f t="shared" si="1"/>
        <v>4251</v>
      </c>
      <c r="K9" s="1620">
        <f t="shared" ref="K9:K18" si="5">+J9*1/J8-1</f>
        <v>-9.7833682739343342E-3</v>
      </c>
      <c r="L9" s="1613">
        <f t="shared" si="0"/>
        <v>694</v>
      </c>
      <c r="M9" s="1614">
        <f t="shared" ref="M9:M18" si="6">+L9*1/L8-1</f>
        <v>-2.3909985935302358E-2</v>
      </c>
      <c r="N9" s="1621">
        <f t="shared" si="2"/>
        <v>4945</v>
      </c>
      <c r="O9" s="1614">
        <f t="shared" ref="O9:O18" si="7">+N9*1/N8-1</f>
        <v>-1.1790567545963193E-2</v>
      </c>
    </row>
    <row r="10" spans="1:15" s="157" customFormat="1" ht="22.5" customHeight="1">
      <c r="A10" s="650" t="s">
        <v>53</v>
      </c>
      <c r="B10" s="1616">
        <v>994</v>
      </c>
      <c r="C10" s="1616">
        <v>143</v>
      </c>
      <c r="D10" s="1616">
        <v>1137</v>
      </c>
      <c r="E10" s="1617">
        <f t="shared" si="3"/>
        <v>1.4272970561998166E-2</v>
      </c>
      <c r="F10" s="1616">
        <v>3244</v>
      </c>
      <c r="G10" s="1616">
        <v>556</v>
      </c>
      <c r="H10" s="1616">
        <v>3800</v>
      </c>
      <c r="I10" s="1617">
        <f t="shared" si="4"/>
        <v>-6.2761506276151069E-3</v>
      </c>
      <c r="J10" s="1618">
        <f t="shared" si="1"/>
        <v>4238</v>
      </c>
      <c r="K10" s="1619">
        <f t="shared" si="5"/>
        <v>-3.0581039755351869E-3</v>
      </c>
      <c r="L10" s="1616">
        <f t="shared" si="0"/>
        <v>699</v>
      </c>
      <c r="M10" s="1617">
        <f t="shared" si="6"/>
        <v>7.2046109510086609E-3</v>
      </c>
      <c r="N10" s="1622">
        <f t="shared" si="2"/>
        <v>4937</v>
      </c>
      <c r="O10" s="1617">
        <f t="shared" si="7"/>
        <v>-1.6177957532861331E-3</v>
      </c>
    </row>
    <row r="11" spans="1:15" s="157" customFormat="1" ht="22.5" customHeight="1">
      <c r="A11" s="649" t="s">
        <v>243</v>
      </c>
      <c r="B11" s="1613">
        <v>1019</v>
      </c>
      <c r="C11" s="1613">
        <v>143</v>
      </c>
      <c r="D11" s="1613">
        <v>1162</v>
      </c>
      <c r="E11" s="1614">
        <f t="shared" si="3"/>
        <v>2.1987686895338587E-2</v>
      </c>
      <c r="F11" s="1613">
        <v>3200</v>
      </c>
      <c r="G11" s="1613">
        <v>558</v>
      </c>
      <c r="H11" s="1613">
        <v>3758</v>
      </c>
      <c r="I11" s="1614">
        <f t="shared" si="4"/>
        <v>-1.1052631578947314E-2</v>
      </c>
      <c r="J11" s="1615">
        <f t="shared" si="1"/>
        <v>4219</v>
      </c>
      <c r="K11" s="1620">
        <f t="shared" si="5"/>
        <v>-4.4832468145351578E-3</v>
      </c>
      <c r="L11" s="1613">
        <f t="shared" si="0"/>
        <v>701</v>
      </c>
      <c r="M11" s="1614">
        <f t="shared" si="6"/>
        <v>2.8612303290413976E-3</v>
      </c>
      <c r="N11" s="1621">
        <f t="shared" si="2"/>
        <v>4920</v>
      </c>
      <c r="O11" s="1614">
        <f t="shared" si="7"/>
        <v>-3.4433866720680051E-3</v>
      </c>
    </row>
    <row r="12" spans="1:15" s="157" customFormat="1" ht="22.5" customHeight="1">
      <c r="A12" s="650" t="s">
        <v>54</v>
      </c>
      <c r="B12" s="1616">
        <v>1029</v>
      </c>
      <c r="C12" s="1616">
        <v>146</v>
      </c>
      <c r="D12" s="1616">
        <v>1175</v>
      </c>
      <c r="E12" s="1617">
        <f t="shared" si="3"/>
        <v>1.1187607573149849E-2</v>
      </c>
      <c r="F12" s="1616">
        <v>3201</v>
      </c>
      <c r="G12" s="1616">
        <v>547</v>
      </c>
      <c r="H12" s="1616">
        <v>3748</v>
      </c>
      <c r="I12" s="1617">
        <f t="shared" si="4"/>
        <v>-2.6609898882383742E-3</v>
      </c>
      <c r="J12" s="1618">
        <f t="shared" si="1"/>
        <v>4230</v>
      </c>
      <c r="K12" s="1619">
        <f t="shared" si="5"/>
        <v>2.6072529035316983E-3</v>
      </c>
      <c r="L12" s="1616">
        <f t="shared" si="0"/>
        <v>693</v>
      </c>
      <c r="M12" s="1617">
        <f t="shared" si="6"/>
        <v>-1.1412268188302432E-2</v>
      </c>
      <c r="N12" s="1622">
        <f t="shared" si="2"/>
        <v>4923</v>
      </c>
      <c r="O12" s="1617">
        <f t="shared" si="7"/>
        <v>6.0975609756086513E-4</v>
      </c>
    </row>
    <row r="13" spans="1:15" s="157" customFormat="1" ht="22.5" customHeight="1">
      <c r="A13" s="649" t="s">
        <v>56</v>
      </c>
      <c r="B13" s="1613">
        <v>1045</v>
      </c>
      <c r="C13" s="1613">
        <v>143</v>
      </c>
      <c r="D13" s="1613">
        <v>1188</v>
      </c>
      <c r="E13" s="1614">
        <f t="shared" si="3"/>
        <v>1.1063829787234081E-2</v>
      </c>
      <c r="F13" s="1613">
        <v>3195</v>
      </c>
      <c r="G13" s="1613">
        <v>520</v>
      </c>
      <c r="H13" s="1613">
        <v>3715</v>
      </c>
      <c r="I13" s="1614">
        <f t="shared" si="4"/>
        <v>-8.8046958377800966E-3</v>
      </c>
      <c r="J13" s="1615">
        <f t="shared" si="1"/>
        <v>4240</v>
      </c>
      <c r="K13" s="1620">
        <f t="shared" si="5"/>
        <v>2.3640661938533203E-3</v>
      </c>
      <c r="L13" s="1613">
        <f t="shared" si="0"/>
        <v>663</v>
      </c>
      <c r="M13" s="1614">
        <f t="shared" si="6"/>
        <v>-4.3290043290043267E-2</v>
      </c>
      <c r="N13" s="1621">
        <f t="shared" si="2"/>
        <v>4903</v>
      </c>
      <c r="O13" s="1614">
        <f t="shared" si="7"/>
        <v>-4.0625634775542929E-3</v>
      </c>
    </row>
    <row r="14" spans="1:15" s="157" customFormat="1" ht="22.5" customHeight="1">
      <c r="A14" s="650" t="s">
        <v>68</v>
      </c>
      <c r="B14" s="1616">
        <v>1073</v>
      </c>
      <c r="C14" s="1616">
        <v>153</v>
      </c>
      <c r="D14" s="1616">
        <v>1226</v>
      </c>
      <c r="E14" s="1617">
        <f t="shared" si="3"/>
        <v>3.1986531986532007E-2</v>
      </c>
      <c r="F14" s="1616">
        <v>3195</v>
      </c>
      <c r="G14" s="1616">
        <v>511</v>
      </c>
      <c r="H14" s="1616">
        <v>3706</v>
      </c>
      <c r="I14" s="1617">
        <f t="shared" si="4"/>
        <v>-2.4226110363391173E-3</v>
      </c>
      <c r="J14" s="1618">
        <f t="shared" si="1"/>
        <v>4268</v>
      </c>
      <c r="K14" s="1619">
        <f t="shared" si="5"/>
        <v>6.6037735849056034E-3</v>
      </c>
      <c r="L14" s="1616">
        <f t="shared" si="0"/>
        <v>664</v>
      </c>
      <c r="M14" s="1617">
        <f t="shared" si="6"/>
        <v>1.5082956259426794E-3</v>
      </c>
      <c r="N14" s="1622">
        <f t="shared" si="2"/>
        <v>4932</v>
      </c>
      <c r="O14" s="1617">
        <f t="shared" si="7"/>
        <v>5.9147460738322444E-3</v>
      </c>
    </row>
    <row r="15" spans="1:15" s="157" customFormat="1" ht="22.5" customHeight="1">
      <c r="A15" s="649" t="s">
        <v>69</v>
      </c>
      <c r="B15" s="1613">
        <v>1128</v>
      </c>
      <c r="C15" s="1613">
        <v>165</v>
      </c>
      <c r="D15" s="1613">
        <v>1293</v>
      </c>
      <c r="E15" s="1614">
        <f t="shared" si="3"/>
        <v>5.4649265905383437E-2</v>
      </c>
      <c r="F15" s="1613">
        <v>3162</v>
      </c>
      <c r="G15" s="1613">
        <v>523</v>
      </c>
      <c r="H15" s="1613">
        <v>3685</v>
      </c>
      <c r="I15" s="1614">
        <f t="shared" si="4"/>
        <v>-5.666486778197477E-3</v>
      </c>
      <c r="J15" s="1615">
        <f t="shared" si="1"/>
        <v>4290</v>
      </c>
      <c r="K15" s="1620">
        <f t="shared" si="5"/>
        <v>5.1546391752577136E-3</v>
      </c>
      <c r="L15" s="1613">
        <f t="shared" si="0"/>
        <v>688</v>
      </c>
      <c r="M15" s="1614">
        <f t="shared" si="6"/>
        <v>3.6144578313253017E-2</v>
      </c>
      <c r="N15" s="1621">
        <f t="shared" si="2"/>
        <v>4978</v>
      </c>
      <c r="O15" s="1614">
        <f t="shared" si="7"/>
        <v>9.326845093268421E-3</v>
      </c>
    </row>
    <row r="16" spans="1:15" s="157" customFormat="1" ht="22.5" customHeight="1">
      <c r="A16" s="650" t="s">
        <v>248</v>
      </c>
      <c r="B16" s="1616">
        <v>1106</v>
      </c>
      <c r="C16" s="1616">
        <v>162</v>
      </c>
      <c r="D16" s="1616">
        <v>1268</v>
      </c>
      <c r="E16" s="1617">
        <f t="shared" si="3"/>
        <v>-1.9334880123743181E-2</v>
      </c>
      <c r="F16" s="1616">
        <v>3110</v>
      </c>
      <c r="G16" s="1616">
        <v>519</v>
      </c>
      <c r="H16" s="1616">
        <v>3629</v>
      </c>
      <c r="I16" s="1617">
        <f t="shared" si="4"/>
        <v>-1.5196743554952485E-2</v>
      </c>
      <c r="J16" s="1618">
        <f t="shared" si="1"/>
        <v>4216</v>
      </c>
      <c r="K16" s="1619">
        <f t="shared" si="5"/>
        <v>-1.7249417249417198E-2</v>
      </c>
      <c r="L16" s="1616">
        <f t="shared" si="0"/>
        <v>681</v>
      </c>
      <c r="M16" s="1617">
        <f t="shared" si="6"/>
        <v>-1.0174418604651181E-2</v>
      </c>
      <c r="N16" s="1616">
        <f t="shared" si="2"/>
        <v>4897</v>
      </c>
      <c r="O16" s="1617">
        <f t="shared" si="7"/>
        <v>-1.627159501807951E-2</v>
      </c>
    </row>
    <row r="17" spans="1:17" s="157" customFormat="1" ht="22.5" customHeight="1">
      <c r="A17" s="649" t="s">
        <v>244</v>
      </c>
      <c r="B17" s="1613">
        <v>1116</v>
      </c>
      <c r="C17" s="1613">
        <v>163</v>
      </c>
      <c r="D17" s="1613">
        <v>1279</v>
      </c>
      <c r="E17" s="1614">
        <f t="shared" si="3"/>
        <v>8.6750788643532584E-3</v>
      </c>
      <c r="F17" s="1613">
        <v>3131</v>
      </c>
      <c r="G17" s="1613">
        <v>528</v>
      </c>
      <c r="H17" s="1613">
        <v>3659</v>
      </c>
      <c r="I17" s="1614">
        <f t="shared" si="4"/>
        <v>8.2667401488012437E-3</v>
      </c>
      <c r="J17" s="1615">
        <f t="shared" si="1"/>
        <v>4247</v>
      </c>
      <c r="K17" s="1620">
        <f t="shared" si="5"/>
        <v>7.3529411764705621E-3</v>
      </c>
      <c r="L17" s="1613">
        <f t="shared" si="0"/>
        <v>691</v>
      </c>
      <c r="M17" s="1614">
        <f t="shared" si="6"/>
        <v>1.4684287812041008E-2</v>
      </c>
      <c r="N17" s="1613">
        <f t="shared" si="2"/>
        <v>4938</v>
      </c>
      <c r="O17" s="1614">
        <f t="shared" si="7"/>
        <v>8.3724729426180033E-3</v>
      </c>
    </row>
    <row r="18" spans="1:17" s="157" customFormat="1" ht="22.5" customHeight="1">
      <c r="A18" s="1639" t="s">
        <v>249</v>
      </c>
      <c r="B18" s="1640">
        <v>1107</v>
      </c>
      <c r="C18" s="1640">
        <v>171</v>
      </c>
      <c r="D18" s="1640">
        <v>1278</v>
      </c>
      <c r="E18" s="1641">
        <f t="shared" si="3"/>
        <v>-7.8186082877251817E-4</v>
      </c>
      <c r="F18" s="1640">
        <v>3061</v>
      </c>
      <c r="G18" s="1640">
        <v>513</v>
      </c>
      <c r="H18" s="1640">
        <v>3574</v>
      </c>
      <c r="I18" s="1641">
        <f t="shared" si="4"/>
        <v>-2.323039081716316E-2</v>
      </c>
      <c r="J18" s="1618">
        <f t="shared" si="1"/>
        <v>4168</v>
      </c>
      <c r="K18" s="1642">
        <f t="shared" si="5"/>
        <v>-1.8601365669884573E-2</v>
      </c>
      <c r="L18" s="1640">
        <f t="shared" si="0"/>
        <v>684</v>
      </c>
      <c r="M18" s="1641">
        <f t="shared" si="6"/>
        <v>-1.0130246020260469E-2</v>
      </c>
      <c r="N18" s="1616">
        <f t="shared" si="2"/>
        <v>4852</v>
      </c>
      <c r="O18" s="1641">
        <f t="shared" si="7"/>
        <v>-1.7415957877683241E-2</v>
      </c>
    </row>
    <row r="19" spans="1:17" s="157" customFormat="1" ht="22.5" customHeight="1">
      <c r="A19" s="2111" t="s">
        <v>250</v>
      </c>
      <c r="B19" s="1623">
        <f>AVERAGE(B7:B18)</f>
        <v>1054.6666666666667</v>
      </c>
      <c r="C19" s="1623">
        <f t="shared" ref="C19:I19" si="8">AVERAGE(C7:C18)</f>
        <v>152.16666666666666</v>
      </c>
      <c r="D19" s="1623">
        <f t="shared" si="8"/>
        <v>1206.8333333333333</v>
      </c>
      <c r="E19" s="1624">
        <f t="shared" si="8"/>
        <v>8.8359272161001225E-3</v>
      </c>
      <c r="F19" s="1623">
        <f>AVERAGE(F7:F18)</f>
        <v>3188.5</v>
      </c>
      <c r="G19" s="1623">
        <f t="shared" si="8"/>
        <v>538.66666666666663</v>
      </c>
      <c r="H19" s="1623">
        <f t="shared" si="8"/>
        <v>3727.1666666666665</v>
      </c>
      <c r="I19" s="1625">
        <f t="shared" si="8"/>
        <v>-4.7733648851735477E-3</v>
      </c>
      <c r="J19" s="1623">
        <f t="shared" ref="J19:O19" si="9">AVERAGE(J7:J18)</f>
        <v>4243.166666666667</v>
      </c>
      <c r="K19" s="1624">
        <f t="shared" si="9"/>
        <v>-6.6900815224542798E-4</v>
      </c>
      <c r="L19" s="1623">
        <f t="shared" si="9"/>
        <v>690.83333333333337</v>
      </c>
      <c r="M19" s="1624">
        <f t="shared" si="9"/>
        <v>-6.0077681814430057E-3</v>
      </c>
      <c r="N19" s="1626">
        <f t="shared" si="9"/>
        <v>4934</v>
      </c>
      <c r="O19" s="1627">
        <f t="shared" si="9"/>
        <v>-1.4721838921002244E-3</v>
      </c>
      <c r="Q19" s="161"/>
    </row>
    <row r="20" spans="1:17" s="157" customFormat="1" ht="22.5" customHeight="1" thickBot="1">
      <c r="A20" s="2112"/>
      <c r="B20" s="1628">
        <f>+B19/D19</f>
        <v>0.87391244303273041</v>
      </c>
      <c r="C20" s="1628">
        <f>+C19/D19</f>
        <v>0.12608755696726973</v>
      </c>
      <c r="D20" s="1628">
        <f>SUM(B20:C20)</f>
        <v>1.0000000000000002</v>
      </c>
      <c r="E20" s="1629"/>
      <c r="F20" s="1628">
        <f>+F19/H19</f>
        <v>0.85547556231274879</v>
      </c>
      <c r="G20" s="1628">
        <f>+G19/H19</f>
        <v>0.14452443768725126</v>
      </c>
      <c r="H20" s="1628">
        <f>SUM(F20:G20)</f>
        <v>1</v>
      </c>
      <c r="I20" s="1629"/>
      <c r="J20" s="1628">
        <f>+J19/N19</f>
        <v>0.85998513714362934</v>
      </c>
      <c r="K20" s="1628"/>
      <c r="L20" s="1628">
        <f>+L19/N19</f>
        <v>0.14001486285637077</v>
      </c>
      <c r="M20" s="1394"/>
      <c r="N20" s="1630"/>
      <c r="O20" s="1631"/>
    </row>
    <row r="21" spans="1:17" s="157" customFormat="1" ht="22.5" customHeight="1" thickBot="1">
      <c r="A21" s="2113"/>
      <c r="B21" s="2122">
        <f>+D19/N19</f>
        <v>0.24459532495608699</v>
      </c>
      <c r="C21" s="2122"/>
      <c r="D21" s="2122"/>
      <c r="E21" s="1629"/>
      <c r="F21" s="2122">
        <f>+H19/N19</f>
        <v>0.75540467504391295</v>
      </c>
      <c r="G21" s="2122"/>
      <c r="H21" s="2122"/>
      <c r="I21" s="1629"/>
      <c r="J21" s="2122">
        <f>+J20+L20</f>
        <v>1</v>
      </c>
      <c r="K21" s="2122"/>
      <c r="L21" s="2122"/>
      <c r="M21" s="1394"/>
      <c r="N21" s="1394"/>
      <c r="O21" s="1631"/>
    </row>
    <row r="23" spans="1:17">
      <c r="A23" s="2126" t="s">
        <v>849</v>
      </c>
      <c r="B23" s="2126"/>
      <c r="C23" s="2126"/>
      <c r="D23" s="2126"/>
      <c r="E23" s="2126"/>
      <c r="F23" s="2126"/>
      <c r="G23" s="2126"/>
      <c r="H23" s="2126"/>
      <c r="I23" s="2126"/>
      <c r="J23" s="2126"/>
      <c r="K23" s="2126"/>
      <c r="L23" s="2126"/>
      <c r="M23" s="2126"/>
      <c r="N23" s="2126"/>
      <c r="O23" s="15"/>
      <c r="P23" s="6"/>
    </row>
    <row r="24" spans="1:17" ht="15.75" thickBot="1"/>
    <row r="25" spans="1:17" ht="26.25" customHeight="1">
      <c r="A25" s="1632" t="s">
        <v>407</v>
      </c>
      <c r="B25" s="1633" t="s">
        <v>252</v>
      </c>
      <c r="C25" s="1633" t="s">
        <v>253</v>
      </c>
      <c r="D25" s="1633" t="s">
        <v>254</v>
      </c>
      <c r="E25" s="1633" t="s">
        <v>255</v>
      </c>
      <c r="F25" s="1633" t="s">
        <v>256</v>
      </c>
      <c r="G25" s="1633" t="s">
        <v>257</v>
      </c>
      <c r="H25" s="1633" t="s">
        <v>258</v>
      </c>
      <c r="I25" s="1633" t="s">
        <v>259</v>
      </c>
      <c r="J25" s="1633" t="s">
        <v>260</v>
      </c>
      <c r="K25" s="1633" t="s">
        <v>261</v>
      </c>
      <c r="L25" s="1633" t="s">
        <v>240</v>
      </c>
      <c r="M25" s="1633" t="s">
        <v>241</v>
      </c>
      <c r="N25" s="1634" t="s">
        <v>641</v>
      </c>
      <c r="O25" s="609"/>
    </row>
    <row r="26" spans="1:17" ht="25.5" customHeight="1">
      <c r="A26" s="1645" t="s">
        <v>697</v>
      </c>
      <c r="B26" s="221">
        <f>+$N7</f>
        <v>4979</v>
      </c>
      <c r="C26" s="221">
        <f>+$N8</f>
        <v>5004</v>
      </c>
      <c r="D26" s="221">
        <f>+$N9</f>
        <v>4945</v>
      </c>
      <c r="E26" s="221">
        <f>+$N9</f>
        <v>4945</v>
      </c>
      <c r="F26" s="221">
        <f>+$N11</f>
        <v>4920</v>
      </c>
      <c r="G26" s="221">
        <f>+$N12</f>
        <v>4923</v>
      </c>
      <c r="H26" s="221">
        <f>+$N13</f>
        <v>4903</v>
      </c>
      <c r="I26" s="221">
        <f>+$N14</f>
        <v>4932</v>
      </c>
      <c r="J26" s="221">
        <f>+$N15</f>
        <v>4978</v>
      </c>
      <c r="K26" s="221">
        <f>+$N16</f>
        <v>4897</v>
      </c>
      <c r="L26" s="221">
        <f>+$N17</f>
        <v>4938</v>
      </c>
      <c r="M26" s="221">
        <f>+$N18</f>
        <v>4852</v>
      </c>
      <c r="N26" s="529">
        <f>AVERAGE(B26:M26)</f>
        <v>4934.666666666667</v>
      </c>
      <c r="O26" s="15"/>
    </row>
    <row r="27" spans="1:17" ht="25.5" customHeight="1" thickBot="1">
      <c r="A27" s="1646" t="s">
        <v>397</v>
      </c>
      <c r="B27" s="1643">
        <v>9003</v>
      </c>
      <c r="C27" s="1643">
        <v>8896</v>
      </c>
      <c r="D27" s="1643">
        <v>8955</v>
      </c>
      <c r="E27" s="1643">
        <v>8956</v>
      </c>
      <c r="F27" s="1643">
        <v>8910</v>
      </c>
      <c r="G27" s="1643">
        <v>8814</v>
      </c>
      <c r="H27" s="1643">
        <v>8860</v>
      </c>
      <c r="I27" s="1643">
        <v>8635</v>
      </c>
      <c r="J27" s="1643">
        <v>8676</v>
      </c>
      <c r="K27" s="1643">
        <v>8723</v>
      </c>
      <c r="L27" s="1643">
        <v>8755</v>
      </c>
      <c r="M27" s="1643">
        <v>8909</v>
      </c>
      <c r="N27" s="1644">
        <f>AVERAGE(B27:M27)</f>
        <v>8841</v>
      </c>
      <c r="O27" s="701"/>
    </row>
    <row r="30" spans="1:17" ht="15.75">
      <c r="A30" s="2072" t="s">
        <v>847</v>
      </c>
      <c r="B30" s="1890"/>
      <c r="C30" s="1890"/>
      <c r="D30" s="1890"/>
      <c r="E30" s="1890"/>
      <c r="F30" s="1890"/>
      <c r="G30" s="1890"/>
      <c r="H30" s="1890"/>
      <c r="I30" s="1890"/>
      <c r="J30" s="1890"/>
      <c r="K30" s="1890"/>
      <c r="L30" s="1890"/>
      <c r="M30" s="1890"/>
    </row>
    <row r="31" spans="1:17" ht="15.75" thickBot="1">
      <c r="A31">
        <v>3867</v>
      </c>
    </row>
    <row r="32" spans="1:17" s="218" customFormat="1" ht="27" customHeight="1">
      <c r="A32" s="2106" t="s">
        <v>315</v>
      </c>
      <c r="B32" s="2104">
        <v>2017</v>
      </c>
      <c r="C32" s="2105"/>
      <c r="D32" s="2104">
        <v>2018</v>
      </c>
      <c r="E32" s="2105"/>
      <c r="F32" s="2104">
        <v>2019</v>
      </c>
      <c r="G32" s="2105"/>
      <c r="H32" s="2104">
        <v>2020</v>
      </c>
      <c r="I32" s="2105"/>
      <c r="J32" s="2104">
        <v>2021</v>
      </c>
      <c r="K32" s="2105"/>
      <c r="L32" s="1755" t="s">
        <v>304</v>
      </c>
      <c r="M32" s="1756"/>
    </row>
    <row r="33" spans="1:15" s="218" customFormat="1" ht="27" customHeight="1">
      <c r="A33" s="2107"/>
      <c r="B33" s="1003" t="s">
        <v>233</v>
      </c>
      <c r="C33" s="1003" t="s">
        <v>406</v>
      </c>
      <c r="D33" s="1003" t="s">
        <v>233</v>
      </c>
      <c r="E33" s="1003" t="s">
        <v>406</v>
      </c>
      <c r="F33" s="1003" t="s">
        <v>233</v>
      </c>
      <c r="G33" s="1003" t="s">
        <v>406</v>
      </c>
      <c r="H33" s="1003" t="s">
        <v>233</v>
      </c>
      <c r="I33" s="1003" t="s">
        <v>406</v>
      </c>
      <c r="J33" s="1003" t="s">
        <v>233</v>
      </c>
      <c r="K33" s="1003" t="s">
        <v>406</v>
      </c>
      <c r="L33" s="1003" t="s">
        <v>233</v>
      </c>
      <c r="M33" s="1025" t="s">
        <v>406</v>
      </c>
      <c r="N33" s="219"/>
    </row>
    <row r="34" spans="1:15" s="218" customFormat="1" ht="27" customHeight="1">
      <c r="A34" s="665" t="s">
        <v>8</v>
      </c>
      <c r="B34" s="666">
        <v>1375</v>
      </c>
      <c r="C34" s="667">
        <f>+B34/B36</f>
        <v>0.26170536733917016</v>
      </c>
      <c r="D34" s="666">
        <v>1091</v>
      </c>
      <c r="E34" s="667">
        <f>+D34/D36</f>
        <v>0.20800762631077216</v>
      </c>
      <c r="F34" s="666">
        <v>1173</v>
      </c>
      <c r="G34" s="667">
        <f>+F34/F36</f>
        <v>0.24611833822912296</v>
      </c>
      <c r="H34" s="666">
        <v>1154</v>
      </c>
      <c r="I34" s="667">
        <f>+H34/H36</f>
        <v>0.23355596033191661</v>
      </c>
      <c r="J34" s="666">
        <f>+D18</f>
        <v>1278</v>
      </c>
      <c r="K34" s="667">
        <f>+J34/J36</f>
        <v>0.26339653751030501</v>
      </c>
      <c r="L34" s="666">
        <f>AVERAGE(F34,B34,D34,H34,J34)</f>
        <v>1214.2</v>
      </c>
      <c r="M34" s="668">
        <f>+L34/L36</f>
        <v>0.24227791523665096</v>
      </c>
      <c r="N34" s="219"/>
      <c r="O34" s="15"/>
    </row>
    <row r="35" spans="1:15" s="218" customFormat="1" ht="27" customHeight="1">
      <c r="A35" s="669" t="s">
        <v>9</v>
      </c>
      <c r="B35" s="670">
        <v>3879</v>
      </c>
      <c r="C35" s="671">
        <f>+B35/B36</f>
        <v>0.73829463266082984</v>
      </c>
      <c r="D35" s="670">
        <v>4154</v>
      </c>
      <c r="E35" s="671">
        <f>+D35/D36</f>
        <v>0.79199237368922781</v>
      </c>
      <c r="F35" s="670">
        <v>3593</v>
      </c>
      <c r="G35" s="671">
        <f>+F35/F36</f>
        <v>0.75388166177087701</v>
      </c>
      <c r="H35" s="670">
        <v>3787</v>
      </c>
      <c r="I35" s="671">
        <f>+H35/H36</f>
        <v>0.76644403966808339</v>
      </c>
      <c r="J35" s="670">
        <f>+H18</f>
        <v>3574</v>
      </c>
      <c r="K35" s="671">
        <f>+J35/J36</f>
        <v>0.73660346248969499</v>
      </c>
      <c r="L35" s="670">
        <f>AVERAGE(F35,B35,D35,H35,J35)</f>
        <v>3797.4</v>
      </c>
      <c r="M35" s="672">
        <f>+L35/L36</f>
        <v>0.75772208476334901</v>
      </c>
      <c r="N35" s="219"/>
      <c r="O35" s="15"/>
    </row>
    <row r="36" spans="1:15" s="218" customFormat="1" ht="27" customHeight="1">
      <c r="A36" s="673" t="s">
        <v>6</v>
      </c>
      <c r="B36" s="674">
        <f t="shared" ref="B36:M36" si="10">SUM(B34:B35)</f>
        <v>5254</v>
      </c>
      <c r="C36" s="675">
        <f t="shared" si="10"/>
        <v>1</v>
      </c>
      <c r="D36" s="674">
        <f t="shared" si="10"/>
        <v>5245</v>
      </c>
      <c r="E36" s="675">
        <f t="shared" si="10"/>
        <v>1</v>
      </c>
      <c r="F36" s="674">
        <f t="shared" si="10"/>
        <v>4766</v>
      </c>
      <c r="G36" s="675">
        <f t="shared" si="10"/>
        <v>1</v>
      </c>
      <c r="H36" s="674">
        <f t="shared" si="10"/>
        <v>4941</v>
      </c>
      <c r="I36" s="675">
        <f t="shared" si="10"/>
        <v>1</v>
      </c>
      <c r="J36" s="674">
        <f t="shared" si="10"/>
        <v>4852</v>
      </c>
      <c r="K36" s="675">
        <f t="shared" si="10"/>
        <v>1</v>
      </c>
      <c r="L36" s="1327">
        <f t="shared" si="10"/>
        <v>5011.6000000000004</v>
      </c>
      <c r="M36" s="1314">
        <f t="shared" si="10"/>
        <v>1</v>
      </c>
      <c r="N36" s="219"/>
      <c r="O36" s="15"/>
    </row>
    <row r="37" spans="1:15" s="218" customFormat="1" ht="27.75" customHeight="1" thickBot="1">
      <c r="A37" s="676" t="s">
        <v>316</v>
      </c>
      <c r="B37" s="2123">
        <f>+B36*1/A31-1</f>
        <v>0.35867597620894753</v>
      </c>
      <c r="C37" s="2124"/>
      <c r="D37" s="2123">
        <f>+D36*1/B36-1</f>
        <v>-1.7129805862200476E-3</v>
      </c>
      <c r="E37" s="2124"/>
      <c r="F37" s="2123">
        <f>+F36*1/D36-1</f>
        <v>-9.1325071496663468E-2</v>
      </c>
      <c r="G37" s="2124"/>
      <c r="H37" s="2123">
        <f>+H36*1/F36-1</f>
        <v>3.6718422156944985E-2</v>
      </c>
      <c r="I37" s="2124"/>
      <c r="J37" s="2123">
        <f>+J36*1/H36-1</f>
        <v>-1.8012548067192879E-2</v>
      </c>
      <c r="K37" s="2124"/>
      <c r="L37" s="1328"/>
      <c r="M37" s="677"/>
      <c r="N37" s="219"/>
    </row>
    <row r="38" spans="1:15">
      <c r="O38" s="219"/>
    </row>
    <row r="159" spans="7:28">
      <c r="G159" s="120">
        <f>SUM(G1:G158)</f>
        <v>21325.811191104352</v>
      </c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</row>
  </sheetData>
  <mergeCells count="25">
    <mergeCell ref="B37:C37"/>
    <mergeCell ref="F37:G37"/>
    <mergeCell ref="H37:I37"/>
    <mergeCell ref="D37:E37"/>
    <mergeCell ref="J37:K37"/>
    <mergeCell ref="A30:M30"/>
    <mergeCell ref="L32:M32"/>
    <mergeCell ref="A32:A33"/>
    <mergeCell ref="B32:C32"/>
    <mergeCell ref="F32:G32"/>
    <mergeCell ref="H32:I32"/>
    <mergeCell ref="D32:E32"/>
    <mergeCell ref="J32:K32"/>
    <mergeCell ref="A23:N23"/>
    <mergeCell ref="A2:O2"/>
    <mergeCell ref="O5:O6"/>
    <mergeCell ref="A19:A21"/>
    <mergeCell ref="B21:D21"/>
    <mergeCell ref="F21:H21"/>
    <mergeCell ref="J21:L21"/>
    <mergeCell ref="A5:A6"/>
    <mergeCell ref="B5:E5"/>
    <mergeCell ref="F5:I5"/>
    <mergeCell ref="J5:M5"/>
    <mergeCell ref="N5:N6"/>
  </mergeCells>
  <pageMargins left="0.7" right="0.7" top="0.75" bottom="0.75" header="0.3" footer="0.3"/>
  <pageSetup orientation="portrait" r:id="rId1"/>
  <ignoredErrors>
    <ignoredError sqref="J8:J18 M21:N21 B19:I19 O20:O21 L36:M36 L7:N8 M20:N20 L9:L18 N9:N18 B21:E21 G21:I21 B20:E20 G20:I20 N19 M34 M35" 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rgb="FF009900"/>
  </sheetPr>
  <dimension ref="A1:IU73"/>
  <sheetViews>
    <sheetView showGridLines="0" topLeftCell="A28" zoomScale="70" zoomScaleNormal="70" workbookViewId="0">
      <selection activeCell="A28" sqref="A28:J41"/>
    </sheetView>
  </sheetViews>
  <sheetFormatPr baseColWidth="10" defaultRowHeight="15"/>
  <cols>
    <col min="1" max="1" width="18" customWidth="1"/>
    <col min="2" max="4" width="14" customWidth="1"/>
    <col min="5" max="5" width="15.42578125" customWidth="1"/>
    <col min="6" max="6" width="14" customWidth="1"/>
    <col min="7" max="7" width="15.28515625" customWidth="1"/>
    <col min="8" max="8" width="14" customWidth="1"/>
    <col min="9" max="9" width="16.28515625" customWidth="1"/>
    <col min="10" max="10" width="16.85546875" customWidth="1"/>
    <col min="11" max="13" width="14" customWidth="1"/>
    <col min="15" max="15" width="19.140625" customWidth="1"/>
    <col min="16" max="16" width="12" bestFit="1" customWidth="1"/>
    <col min="17" max="17" width="11.42578125" customWidth="1"/>
    <col min="19" max="19" width="12.42578125" customWidth="1"/>
  </cols>
  <sheetData>
    <row r="1" spans="1:255">
      <c r="A1" s="2143" t="s">
        <v>850</v>
      </c>
      <c r="B1" s="2143"/>
      <c r="C1" s="2143"/>
      <c r="D1" s="2143"/>
      <c r="E1" s="2143"/>
      <c r="F1" s="2143"/>
      <c r="G1" s="2143"/>
      <c r="H1" s="2143"/>
      <c r="I1" s="2143"/>
      <c r="J1" s="2143"/>
      <c r="K1" s="2143"/>
      <c r="L1" s="2143"/>
      <c r="M1" s="2143"/>
    </row>
    <row r="2" spans="1:255">
      <c r="A2" s="2143"/>
      <c r="B2" s="2143"/>
      <c r="C2" s="2143"/>
      <c r="D2" s="2143"/>
      <c r="E2" s="2143"/>
      <c r="F2" s="2143"/>
      <c r="G2" s="2143"/>
      <c r="H2" s="2143"/>
      <c r="I2" s="2143"/>
      <c r="J2" s="2143"/>
      <c r="K2" s="2143"/>
      <c r="L2" s="2143"/>
      <c r="M2" s="2143"/>
    </row>
    <row r="3" spans="1:255" ht="15.75" thickBot="1"/>
    <row r="4" spans="1:255" s="7" customFormat="1" ht="30" customHeight="1">
      <c r="A4" s="2148" t="s">
        <v>32</v>
      </c>
      <c r="B4" s="2144" t="s">
        <v>52</v>
      </c>
      <c r="C4" s="2144"/>
      <c r="D4" s="2144"/>
      <c r="E4" s="2144" t="s">
        <v>23</v>
      </c>
      <c r="F4" s="2144"/>
      <c r="G4" s="2144"/>
      <c r="H4" s="2144" t="s">
        <v>131</v>
      </c>
      <c r="I4" s="2144"/>
      <c r="J4" s="2144"/>
      <c r="K4" s="2145" t="s">
        <v>290</v>
      </c>
      <c r="L4" s="2146"/>
      <c r="M4" s="2147"/>
      <c r="N4" s="12"/>
      <c r="O4" s="621" t="s">
        <v>851</v>
      </c>
      <c r="P4" s="12"/>
    </row>
    <row r="5" spans="1:255" s="7" customFormat="1" ht="30" customHeight="1">
      <c r="A5" s="2149"/>
      <c r="B5" s="1060" t="s">
        <v>812</v>
      </c>
      <c r="C5" s="1060" t="s">
        <v>811</v>
      </c>
      <c r="D5" s="1060" t="s">
        <v>434</v>
      </c>
      <c r="E5" s="1060" t="s">
        <v>812</v>
      </c>
      <c r="F5" s="1060" t="s">
        <v>811</v>
      </c>
      <c r="G5" s="1060" t="s">
        <v>434</v>
      </c>
      <c r="H5" s="1060" t="s">
        <v>812</v>
      </c>
      <c r="I5" s="1060" t="s">
        <v>811</v>
      </c>
      <c r="J5" s="1060" t="s">
        <v>434</v>
      </c>
      <c r="K5" s="1060" t="s">
        <v>812</v>
      </c>
      <c r="L5" s="1060" t="s">
        <v>811</v>
      </c>
      <c r="M5" s="1061" t="s">
        <v>6</v>
      </c>
      <c r="N5" s="12"/>
      <c r="O5" s="1060" t="s">
        <v>32</v>
      </c>
      <c r="P5" s="1060" t="s">
        <v>715</v>
      </c>
      <c r="Q5" s="1060" t="s">
        <v>716</v>
      </c>
      <c r="R5" s="1060" t="s">
        <v>717</v>
      </c>
      <c r="S5" s="1060" t="s">
        <v>6</v>
      </c>
    </row>
    <row r="6" spans="1:255" s="16" customFormat="1" ht="18" customHeight="1">
      <c r="A6" s="201" t="s">
        <v>247</v>
      </c>
      <c r="B6" s="1647">
        <v>15078</v>
      </c>
      <c r="C6" s="1647">
        <v>923</v>
      </c>
      <c r="D6" s="1647">
        <v>16001</v>
      </c>
      <c r="E6" s="1647">
        <v>5224</v>
      </c>
      <c r="F6" s="1647">
        <v>621</v>
      </c>
      <c r="G6" s="1647">
        <v>5845</v>
      </c>
      <c r="H6" s="1647">
        <v>814</v>
      </c>
      <c r="I6" s="1647">
        <v>79</v>
      </c>
      <c r="J6" s="1647">
        <v>893</v>
      </c>
      <c r="K6" s="1647">
        <v>21116</v>
      </c>
      <c r="L6" s="1647">
        <v>1623</v>
      </c>
      <c r="M6" s="1648">
        <f>+K6+L6</f>
        <v>22739</v>
      </c>
      <c r="N6" s="7"/>
      <c r="O6" s="1064" t="s">
        <v>247</v>
      </c>
      <c r="P6" s="1065">
        <v>40710</v>
      </c>
      <c r="Q6" s="1065">
        <v>13409</v>
      </c>
      <c r="R6" s="1065">
        <v>2074</v>
      </c>
      <c r="S6" s="1065">
        <f t="shared" ref="S6:S17" si="0">SUM(P6:R6)</f>
        <v>56193</v>
      </c>
      <c r="T6" s="7"/>
      <c r="U6" s="7"/>
      <c r="V6" s="7">
        <v>2074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</row>
    <row r="7" spans="1:255" s="16" customFormat="1" ht="18" customHeight="1">
      <c r="A7" s="202" t="s">
        <v>12</v>
      </c>
      <c r="B7" s="1649">
        <v>15092</v>
      </c>
      <c r="C7" s="1649">
        <v>931</v>
      </c>
      <c r="D7" s="1649">
        <v>16023</v>
      </c>
      <c r="E7" s="1649">
        <v>5158</v>
      </c>
      <c r="F7" s="1649">
        <v>607</v>
      </c>
      <c r="G7" s="1649">
        <v>5765</v>
      </c>
      <c r="H7" s="1649">
        <v>797</v>
      </c>
      <c r="I7" s="1649">
        <v>72</v>
      </c>
      <c r="J7" s="1649">
        <v>869</v>
      </c>
      <c r="K7" s="1649">
        <v>21047</v>
      </c>
      <c r="L7" s="1649">
        <v>1610</v>
      </c>
      <c r="M7" s="1650">
        <f t="shared" ref="M7:M16" si="1">+K7+L7</f>
        <v>22657</v>
      </c>
      <c r="N7" s="7"/>
      <c r="O7" s="1066" t="s">
        <v>12</v>
      </c>
      <c r="P7" s="1067">
        <v>40646</v>
      </c>
      <c r="Q7" s="1067">
        <v>13306</v>
      </c>
      <c r="R7" s="1067">
        <v>2019</v>
      </c>
      <c r="S7" s="1067">
        <f t="shared" si="0"/>
        <v>55971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</row>
    <row r="8" spans="1:255" s="16" customFormat="1" ht="18" customHeight="1">
      <c r="A8" s="203" t="s">
        <v>13</v>
      </c>
      <c r="B8" s="1651">
        <v>15183</v>
      </c>
      <c r="C8" s="1651">
        <v>948</v>
      </c>
      <c r="D8" s="1651">
        <v>16131</v>
      </c>
      <c r="E8" s="1651">
        <v>5055</v>
      </c>
      <c r="F8" s="1651">
        <v>588</v>
      </c>
      <c r="G8" s="1651">
        <v>5643</v>
      </c>
      <c r="H8" s="1651">
        <v>781</v>
      </c>
      <c r="I8" s="1651">
        <v>72</v>
      </c>
      <c r="J8" s="1651">
        <v>853</v>
      </c>
      <c r="K8" s="1651">
        <v>21019</v>
      </c>
      <c r="L8" s="1651">
        <v>1608</v>
      </c>
      <c r="M8" s="1652">
        <f t="shared" si="1"/>
        <v>22627</v>
      </c>
      <c r="N8" s="7"/>
      <c r="O8" s="1068" t="s">
        <v>13</v>
      </c>
      <c r="P8" s="1069">
        <v>40918</v>
      </c>
      <c r="Q8" s="1069">
        <v>13093</v>
      </c>
      <c r="R8" s="1069">
        <v>2001</v>
      </c>
      <c r="S8" s="1069">
        <f t="shared" si="0"/>
        <v>56012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</row>
    <row r="9" spans="1:255" s="16" customFormat="1" ht="18" customHeight="1">
      <c r="A9" s="202" t="s">
        <v>53</v>
      </c>
      <c r="B9" s="1649">
        <v>15311</v>
      </c>
      <c r="C9" s="1649">
        <v>948</v>
      </c>
      <c r="D9" s="1649">
        <v>16259</v>
      </c>
      <c r="E9" s="1649">
        <v>5024</v>
      </c>
      <c r="F9" s="1649">
        <v>587</v>
      </c>
      <c r="G9" s="1649">
        <v>5611</v>
      </c>
      <c r="H9" s="1649">
        <v>763</v>
      </c>
      <c r="I9" s="1649">
        <v>73</v>
      </c>
      <c r="J9" s="1649">
        <v>836</v>
      </c>
      <c r="K9" s="1649">
        <v>21098</v>
      </c>
      <c r="L9" s="1649">
        <v>1608</v>
      </c>
      <c r="M9" s="1650">
        <f t="shared" si="1"/>
        <v>22706</v>
      </c>
      <c r="N9" s="7"/>
      <c r="O9" s="1066" t="s">
        <v>53</v>
      </c>
      <c r="P9" s="1067">
        <v>41286</v>
      </c>
      <c r="Q9" s="1067">
        <v>13033</v>
      </c>
      <c r="R9" s="1067">
        <v>1969</v>
      </c>
      <c r="S9" s="1067">
        <f t="shared" si="0"/>
        <v>56288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</row>
    <row r="10" spans="1:255" s="16" customFormat="1" ht="18" customHeight="1">
      <c r="A10" s="203" t="s">
        <v>243</v>
      </c>
      <c r="B10" s="1651">
        <v>15247</v>
      </c>
      <c r="C10" s="1651">
        <v>921</v>
      </c>
      <c r="D10" s="1651">
        <v>16168</v>
      </c>
      <c r="E10" s="1651">
        <v>5030</v>
      </c>
      <c r="F10" s="1651">
        <v>582</v>
      </c>
      <c r="G10" s="1651">
        <v>5612</v>
      </c>
      <c r="H10" s="1651">
        <v>754</v>
      </c>
      <c r="I10" s="1651">
        <v>70</v>
      </c>
      <c r="J10" s="1651">
        <v>824</v>
      </c>
      <c r="K10" s="1651">
        <v>21031</v>
      </c>
      <c r="L10" s="1651">
        <v>1573</v>
      </c>
      <c r="M10" s="1652">
        <f t="shared" si="1"/>
        <v>22604</v>
      </c>
      <c r="N10" s="7"/>
      <c r="O10" s="1068" t="s">
        <v>243</v>
      </c>
      <c r="P10" s="1069">
        <v>41099</v>
      </c>
      <c r="Q10" s="1069">
        <v>13056</v>
      </c>
      <c r="R10" s="1069">
        <v>1935</v>
      </c>
      <c r="S10" s="1069">
        <f t="shared" si="0"/>
        <v>56090</v>
      </c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</row>
    <row r="11" spans="1:255" s="16" customFormat="1" ht="18" customHeight="1">
      <c r="A11" s="202" t="s">
        <v>54</v>
      </c>
      <c r="B11" s="1649">
        <v>15151</v>
      </c>
      <c r="C11" s="1649">
        <v>937</v>
      </c>
      <c r="D11" s="1649">
        <v>16088</v>
      </c>
      <c r="E11" s="1649">
        <v>5033</v>
      </c>
      <c r="F11" s="1649">
        <v>577</v>
      </c>
      <c r="G11" s="1649">
        <v>5610</v>
      </c>
      <c r="H11" s="1649">
        <v>738</v>
      </c>
      <c r="I11" s="1649">
        <v>68</v>
      </c>
      <c r="J11" s="1649">
        <v>806</v>
      </c>
      <c r="K11" s="1649">
        <v>20922</v>
      </c>
      <c r="L11" s="1649">
        <v>1582</v>
      </c>
      <c r="M11" s="1650">
        <f t="shared" si="1"/>
        <v>22504</v>
      </c>
      <c r="N11" s="7"/>
      <c r="O11" s="1066" t="s">
        <v>54</v>
      </c>
      <c r="P11" s="1067">
        <v>40982</v>
      </c>
      <c r="Q11" s="1067">
        <v>13051</v>
      </c>
      <c r="R11" s="1067">
        <v>1909</v>
      </c>
      <c r="S11" s="1067">
        <f t="shared" si="0"/>
        <v>55942</v>
      </c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</row>
    <row r="12" spans="1:255" s="16" customFormat="1" ht="18" customHeight="1">
      <c r="A12" s="203" t="s">
        <v>56</v>
      </c>
      <c r="B12" s="1653">
        <v>15212</v>
      </c>
      <c r="C12" s="1653">
        <v>947</v>
      </c>
      <c r="D12" s="1653">
        <v>16159</v>
      </c>
      <c r="E12" s="1653">
        <v>5009</v>
      </c>
      <c r="F12" s="1653">
        <v>565</v>
      </c>
      <c r="G12" s="1653">
        <v>5574</v>
      </c>
      <c r="H12" s="1653">
        <v>741</v>
      </c>
      <c r="I12" s="1653">
        <v>71</v>
      </c>
      <c r="J12" s="1653">
        <v>812</v>
      </c>
      <c r="K12" s="1653">
        <v>20962</v>
      </c>
      <c r="L12" s="1653">
        <v>1583</v>
      </c>
      <c r="M12" s="1654">
        <f t="shared" si="1"/>
        <v>22545</v>
      </c>
      <c r="N12" s="7"/>
      <c r="O12" s="1068" t="s">
        <v>56</v>
      </c>
      <c r="P12" s="1070">
        <v>41201</v>
      </c>
      <c r="Q12" s="1070">
        <v>12916</v>
      </c>
      <c r="R12" s="1070">
        <v>1938</v>
      </c>
      <c r="S12" s="1070">
        <f t="shared" si="0"/>
        <v>56055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</row>
    <row r="13" spans="1:255" s="16" customFormat="1" ht="18" customHeight="1">
      <c r="A13" s="202" t="s">
        <v>68</v>
      </c>
      <c r="B13" s="1649">
        <v>15120</v>
      </c>
      <c r="C13" s="1649">
        <v>1000</v>
      </c>
      <c r="D13" s="1649">
        <v>16120</v>
      </c>
      <c r="E13" s="1649">
        <v>5021</v>
      </c>
      <c r="F13" s="1649">
        <v>514</v>
      </c>
      <c r="G13" s="1649">
        <v>5535</v>
      </c>
      <c r="H13" s="1649">
        <v>729</v>
      </c>
      <c r="I13" s="1649">
        <v>67</v>
      </c>
      <c r="J13" s="1649">
        <v>796</v>
      </c>
      <c r="K13" s="1649">
        <v>20870</v>
      </c>
      <c r="L13" s="1649">
        <v>1581</v>
      </c>
      <c r="M13" s="1650">
        <f t="shared" si="1"/>
        <v>22451</v>
      </c>
      <c r="N13" s="7"/>
      <c r="O13" s="1066" t="s">
        <v>68</v>
      </c>
      <c r="P13" s="1067">
        <v>41364</v>
      </c>
      <c r="Q13" s="1067">
        <v>12853</v>
      </c>
      <c r="R13" s="1067">
        <v>1898</v>
      </c>
      <c r="S13" s="1067">
        <f t="shared" si="0"/>
        <v>56115</v>
      </c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</row>
    <row r="14" spans="1:255" s="16" customFormat="1" ht="18" customHeight="1">
      <c r="A14" s="203" t="s">
        <v>69</v>
      </c>
      <c r="B14" s="1653">
        <v>15273</v>
      </c>
      <c r="C14" s="1653">
        <v>938</v>
      </c>
      <c r="D14" s="1653">
        <v>16211</v>
      </c>
      <c r="E14" s="1653">
        <v>4987</v>
      </c>
      <c r="F14" s="1653">
        <v>559</v>
      </c>
      <c r="G14" s="1653">
        <v>5546</v>
      </c>
      <c r="H14" s="1653">
        <v>742</v>
      </c>
      <c r="I14" s="1653">
        <v>77</v>
      </c>
      <c r="J14" s="1653">
        <v>819</v>
      </c>
      <c r="K14" s="1653">
        <v>21002</v>
      </c>
      <c r="L14" s="1653">
        <v>1574</v>
      </c>
      <c r="M14" s="1654">
        <f t="shared" si="1"/>
        <v>22576</v>
      </c>
      <c r="N14" s="7"/>
      <c r="O14" s="1068" t="s">
        <v>69</v>
      </c>
      <c r="P14" s="1070">
        <v>41541</v>
      </c>
      <c r="Q14" s="1070">
        <v>12901</v>
      </c>
      <c r="R14" s="1070">
        <v>1930</v>
      </c>
      <c r="S14" s="1070">
        <f t="shared" si="0"/>
        <v>56372</v>
      </c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</row>
    <row r="15" spans="1:255" s="16" customFormat="1" ht="18" customHeight="1">
      <c r="A15" s="202" t="s">
        <v>248</v>
      </c>
      <c r="B15" s="1649">
        <v>15425</v>
      </c>
      <c r="C15" s="1649">
        <v>951</v>
      </c>
      <c r="D15" s="1649">
        <v>16376</v>
      </c>
      <c r="E15" s="1649">
        <v>4969</v>
      </c>
      <c r="F15" s="1649">
        <v>545</v>
      </c>
      <c r="G15" s="1649">
        <v>5514</v>
      </c>
      <c r="H15" s="1649">
        <v>742</v>
      </c>
      <c r="I15" s="1649">
        <v>78</v>
      </c>
      <c r="J15" s="1649">
        <v>820</v>
      </c>
      <c r="K15" s="1649">
        <v>21136</v>
      </c>
      <c r="L15" s="1649">
        <v>1574</v>
      </c>
      <c r="M15" s="1650">
        <f t="shared" si="1"/>
        <v>22710</v>
      </c>
      <c r="N15" s="7"/>
      <c r="O15" s="1066" t="s">
        <v>248</v>
      </c>
      <c r="P15" s="1067">
        <v>42042</v>
      </c>
      <c r="Q15" s="1067">
        <v>12823</v>
      </c>
      <c r="R15" s="1067">
        <v>1943</v>
      </c>
      <c r="S15" s="1067">
        <f t="shared" si="0"/>
        <v>56808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</row>
    <row r="16" spans="1:255" s="16" customFormat="1" ht="18" customHeight="1">
      <c r="A16" s="203" t="s">
        <v>244</v>
      </c>
      <c r="B16" s="1653">
        <v>15483</v>
      </c>
      <c r="C16" s="1653">
        <v>943</v>
      </c>
      <c r="D16" s="1653">
        <v>16426</v>
      </c>
      <c r="E16" s="1653">
        <v>4860</v>
      </c>
      <c r="F16" s="1653">
        <v>541</v>
      </c>
      <c r="G16" s="1653">
        <v>5401</v>
      </c>
      <c r="H16" s="1653">
        <v>759</v>
      </c>
      <c r="I16" s="1653">
        <v>79</v>
      </c>
      <c r="J16" s="1653">
        <v>838</v>
      </c>
      <c r="K16" s="1653">
        <v>21102</v>
      </c>
      <c r="L16" s="1653">
        <v>1563</v>
      </c>
      <c r="M16" s="1654">
        <f t="shared" si="1"/>
        <v>22665</v>
      </c>
      <c r="N16" s="7"/>
      <c r="O16" s="1068" t="s">
        <v>244</v>
      </c>
      <c r="P16" s="1070">
        <v>42298</v>
      </c>
      <c r="Q16" s="1070">
        <v>12564</v>
      </c>
      <c r="R16" s="1070">
        <v>2010</v>
      </c>
      <c r="S16" s="1070">
        <f t="shared" si="0"/>
        <v>56872</v>
      </c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</row>
    <row r="17" spans="1:255" s="16" customFormat="1" ht="18" customHeight="1">
      <c r="A17" s="202" t="s">
        <v>249</v>
      </c>
      <c r="B17" s="1649">
        <v>15388</v>
      </c>
      <c r="C17" s="1649">
        <v>919</v>
      </c>
      <c r="D17" s="1649">
        <v>16307</v>
      </c>
      <c r="E17" s="1649">
        <v>4842</v>
      </c>
      <c r="F17" s="1649">
        <v>545</v>
      </c>
      <c r="G17" s="1649">
        <v>5387</v>
      </c>
      <c r="H17" s="1649">
        <v>770</v>
      </c>
      <c r="I17" s="1649">
        <v>81</v>
      </c>
      <c r="J17" s="1649">
        <v>851</v>
      </c>
      <c r="K17" s="1649">
        <v>21000</v>
      </c>
      <c r="L17" s="1649">
        <v>1545</v>
      </c>
      <c r="M17" s="1650">
        <f>+K17+L17</f>
        <v>22545</v>
      </c>
      <c r="N17" s="7"/>
      <c r="O17" s="1066" t="s">
        <v>249</v>
      </c>
      <c r="P17" s="1067">
        <v>42149</v>
      </c>
      <c r="Q17" s="1067">
        <v>12541</v>
      </c>
      <c r="R17" s="1067">
        <v>2029</v>
      </c>
      <c r="S17" s="1067">
        <f t="shared" si="0"/>
        <v>56719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</row>
    <row r="18" spans="1:255" s="7" customFormat="1" ht="41.25" customHeight="1">
      <c r="A18" s="1062" t="s">
        <v>393</v>
      </c>
      <c r="B18" s="1655">
        <f>AVERAGE(B6:B17)</f>
        <v>15246.916666666666</v>
      </c>
      <c r="C18" s="1655">
        <f t="shared" ref="C18:M18" si="2">AVERAGE(C6:C17)</f>
        <v>942.16666666666663</v>
      </c>
      <c r="D18" s="1655">
        <f t="shared" si="2"/>
        <v>16189.083333333334</v>
      </c>
      <c r="E18" s="1655">
        <f t="shared" si="2"/>
        <v>5017.666666666667</v>
      </c>
      <c r="F18" s="1655">
        <f t="shared" si="2"/>
        <v>569.25</v>
      </c>
      <c r="G18" s="1655">
        <f t="shared" si="2"/>
        <v>5586.916666666667</v>
      </c>
      <c r="H18" s="1655">
        <f t="shared" si="2"/>
        <v>760.83333333333337</v>
      </c>
      <c r="I18" s="1655">
        <f t="shared" si="2"/>
        <v>73.916666666666671</v>
      </c>
      <c r="J18" s="1655">
        <f t="shared" si="2"/>
        <v>834.75</v>
      </c>
      <c r="K18" s="1655">
        <f t="shared" si="2"/>
        <v>21025.416666666668</v>
      </c>
      <c r="L18" s="1655">
        <f t="shared" si="2"/>
        <v>1585.3333333333333</v>
      </c>
      <c r="M18" s="1656">
        <f t="shared" si="2"/>
        <v>22610.75</v>
      </c>
      <c r="O18" s="1071" t="s">
        <v>250</v>
      </c>
      <c r="P18" s="1072">
        <f>AVERAGE(P6:P17)</f>
        <v>41353</v>
      </c>
      <c r="Q18" s="1072">
        <f>AVERAGE(Q6:Q17)</f>
        <v>12962.166666666666</v>
      </c>
      <c r="R18" s="1072">
        <f>AVERAGE(R6:R17)</f>
        <v>1971.25</v>
      </c>
      <c r="S18" s="1072">
        <f>AVERAGE(S6:S17)</f>
        <v>56286.416666666664</v>
      </c>
    </row>
    <row r="19" spans="1:255" s="17" customFormat="1" ht="41.25" customHeight="1">
      <c r="A19" s="2150" t="s">
        <v>854</v>
      </c>
      <c r="B19" s="1657">
        <f>+B17/$D$17</f>
        <v>0.94364383393634632</v>
      </c>
      <c r="C19" s="1657">
        <f>+C17/$D$17</f>
        <v>5.6356166063653644E-2</v>
      </c>
      <c r="D19" s="1657">
        <f>SUM(B19:C19)</f>
        <v>1</v>
      </c>
      <c r="E19" s="1657">
        <f>+E17/$G$17</f>
        <v>0.89883051791349544</v>
      </c>
      <c r="F19" s="1657">
        <f>+F17/$G$17</f>
        <v>0.10116948208650454</v>
      </c>
      <c r="G19" s="1657">
        <f>SUM(E19:F19)</f>
        <v>1</v>
      </c>
      <c r="H19" s="1657">
        <f>+H17/$J$17</f>
        <v>0.90481786133960052</v>
      </c>
      <c r="I19" s="1657">
        <f>+I17/$J$17</f>
        <v>9.5182138660399526E-2</v>
      </c>
      <c r="J19" s="1657">
        <f>SUM(H19:I19)</f>
        <v>1</v>
      </c>
      <c r="K19" s="1657">
        <f>+K17/$M$17</f>
        <v>0.93147039254823683</v>
      </c>
      <c r="L19" s="1657">
        <f>+L17/$M$17</f>
        <v>6.8529607451763147E-2</v>
      </c>
      <c r="M19" s="1658">
        <f>SUM(K19:L19)</f>
        <v>1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</row>
    <row r="20" spans="1:255" s="7" customFormat="1" ht="41.25" customHeight="1">
      <c r="A20" s="2150"/>
      <c r="B20" s="2151">
        <f>+D18/$M$18</f>
        <v>0.71599055021763247</v>
      </c>
      <c r="C20" s="2151"/>
      <c r="D20" s="2151"/>
      <c r="E20" s="2129">
        <f>+G18/$M$18</f>
        <v>0.24709116976069645</v>
      </c>
      <c r="F20" s="2130"/>
      <c r="G20" s="2131"/>
      <c r="H20" s="2129">
        <f>+J18/$M$18</f>
        <v>3.6918280021671107E-2</v>
      </c>
      <c r="I20" s="2130"/>
      <c r="J20" s="2131"/>
      <c r="K20" s="2129">
        <f>SUM(B20:J20)</f>
        <v>1</v>
      </c>
      <c r="L20" s="2130"/>
      <c r="M20" s="2132"/>
    </row>
    <row r="21" spans="1:255" s="7" customFormat="1" ht="41.25" customHeight="1">
      <c r="A21" s="1062" t="s">
        <v>855</v>
      </c>
      <c r="B21" s="2141">
        <f>+'TABLA JURIDICA'!H19</f>
        <v>72353.083333333328</v>
      </c>
      <c r="C21" s="2141"/>
      <c r="D21" s="2141"/>
      <c r="E21" s="2141">
        <f>+'TABLA DOMICILIARIA'!H19</f>
        <v>34140.416666666664</v>
      </c>
      <c r="F21" s="2141"/>
      <c r="G21" s="2141"/>
      <c r="H21" s="2141">
        <f>+'TABLA VIGIL ELECTRONICA'!H19</f>
        <v>3727.1666666666665</v>
      </c>
      <c r="I21" s="2141"/>
      <c r="J21" s="2141"/>
      <c r="K21" s="2136">
        <f>SUM(B21:J21)</f>
        <v>110220.66666666667</v>
      </c>
      <c r="L21" s="2136"/>
      <c r="M21" s="2137"/>
    </row>
    <row r="22" spans="1:255" s="7" customFormat="1" ht="60" customHeight="1" thickBot="1">
      <c r="A22" s="1063" t="s">
        <v>856</v>
      </c>
      <c r="B22" s="2140">
        <f>+D18/B21</f>
        <v>0.22375111864617611</v>
      </c>
      <c r="C22" s="2140"/>
      <c r="D22" s="2140"/>
      <c r="E22" s="2140">
        <f>+G18/E21</f>
        <v>0.16364523963532959</v>
      </c>
      <c r="F22" s="2140"/>
      <c r="G22" s="2140"/>
      <c r="H22" s="2140">
        <f>+J18/H21</f>
        <v>0.22396369002369987</v>
      </c>
      <c r="I22" s="2140"/>
      <c r="J22" s="2140"/>
      <c r="K22" s="2133">
        <f>+M17/K21</f>
        <v>0.20454421735790626</v>
      </c>
      <c r="L22" s="2134"/>
      <c r="M22" s="2135"/>
    </row>
    <row r="23" spans="1:255" ht="5.25" customHeight="1" thickBot="1">
      <c r="A23" s="1659"/>
      <c r="B23" s="1659"/>
      <c r="C23" s="1659"/>
      <c r="D23" s="1659"/>
      <c r="E23" s="1659"/>
      <c r="F23" s="1659"/>
      <c r="G23" s="1659"/>
      <c r="H23" s="1659"/>
      <c r="I23" s="1659"/>
      <c r="J23" s="1659"/>
      <c r="K23" s="1659"/>
      <c r="L23" s="1659"/>
      <c r="M23" s="1659"/>
    </row>
    <row r="24" spans="1:255" s="218" customFormat="1" ht="57" customHeight="1">
      <c r="A24" s="1058" t="s">
        <v>857</v>
      </c>
      <c r="B24" s="2138">
        <f>+P18</f>
        <v>41353</v>
      </c>
      <c r="C24" s="2138"/>
      <c r="D24" s="2138"/>
      <c r="E24" s="2138">
        <f>+Q18</f>
        <v>12962.166666666666</v>
      </c>
      <c r="F24" s="2138"/>
      <c r="G24" s="2138"/>
      <c r="H24" s="2138">
        <f>+R18</f>
        <v>1971.25</v>
      </c>
      <c r="I24" s="2138"/>
      <c r="J24" s="2138"/>
      <c r="K24" s="2138">
        <f>SUM(B24:J24)</f>
        <v>56286.416666666664</v>
      </c>
      <c r="L24" s="2138"/>
      <c r="M24" s="2139"/>
      <c r="N24" s="1056"/>
      <c r="O24" s="1057"/>
    </row>
    <row r="25" spans="1:255" s="218" customFormat="1" ht="60" customHeight="1" thickBot="1">
      <c r="A25" s="1059" t="s">
        <v>858</v>
      </c>
      <c r="B25" s="2127">
        <f>+B24/K24</f>
        <v>0.73468880147223203</v>
      </c>
      <c r="C25" s="2127"/>
      <c r="D25" s="2127"/>
      <c r="E25" s="2127">
        <f>+E24/K24</f>
        <v>0.23028942743734795</v>
      </c>
      <c r="F25" s="2127"/>
      <c r="G25" s="2127"/>
      <c r="H25" s="2127">
        <f>+H24/K24</f>
        <v>3.5021771090419984E-2</v>
      </c>
      <c r="I25" s="2127"/>
      <c r="J25" s="2127"/>
      <c r="K25" s="2127">
        <f>SUM(B25:J25)</f>
        <v>1</v>
      </c>
      <c r="L25" s="2127"/>
      <c r="M25" s="2128"/>
      <c r="N25" s="1056"/>
    </row>
    <row r="27" spans="1:255" ht="16.5" thickBot="1">
      <c r="A27" s="1890" t="s">
        <v>852</v>
      </c>
      <c r="B27" s="1890"/>
      <c r="C27" s="1890"/>
      <c r="D27" s="1890"/>
      <c r="E27" s="1890"/>
      <c r="F27" s="1890"/>
      <c r="G27" s="1890"/>
      <c r="H27" s="1890"/>
      <c r="I27" s="1890"/>
      <c r="J27" s="1890"/>
    </row>
    <row r="28" spans="1:255" s="7" customFormat="1" ht="64.5" customHeight="1">
      <c r="A28" s="1661" t="s">
        <v>32</v>
      </c>
      <c r="B28" s="1662" t="s">
        <v>101</v>
      </c>
      <c r="C28" s="1662" t="s">
        <v>246</v>
      </c>
      <c r="D28" s="1662" t="s">
        <v>291</v>
      </c>
      <c r="E28" s="1662" t="s">
        <v>292</v>
      </c>
      <c r="F28" s="1662" t="s">
        <v>293</v>
      </c>
      <c r="G28" s="1662" t="s">
        <v>294</v>
      </c>
      <c r="H28" s="1662" t="s">
        <v>295</v>
      </c>
      <c r="I28" s="1662" t="s">
        <v>296</v>
      </c>
      <c r="J28" s="1663" t="s">
        <v>297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55" s="16" customFormat="1" ht="18" customHeight="1">
      <c r="A29" s="201" t="s">
        <v>247</v>
      </c>
      <c r="B29" s="1664">
        <f>+'TABLA CAPACIDAD'!B5</f>
        <v>80645</v>
      </c>
      <c r="C29" s="1664">
        <f>+'TABLA HACINAMIENTO'!B5</f>
        <v>96775</v>
      </c>
      <c r="D29" s="1664">
        <f t="shared" ref="D29:D40" si="3">+D6</f>
        <v>16001</v>
      </c>
      <c r="E29" s="1664">
        <f>+C29-D29</f>
        <v>80774</v>
      </c>
      <c r="F29" s="1664">
        <f>+'TABLA JURIDICA'!H7</f>
        <v>73360</v>
      </c>
      <c r="G29" s="1665">
        <f>+F29-D29</f>
        <v>57359</v>
      </c>
      <c r="H29" s="1666">
        <f>+B29-G29</f>
        <v>23286</v>
      </c>
      <c r="I29" s="1667">
        <f>+C29*1/B29-1</f>
        <v>0.20001240002480003</v>
      </c>
      <c r="J29" s="1668">
        <f>+E29*1/B29-1</f>
        <v>1.5996031992064896E-3</v>
      </c>
      <c r="K29"/>
      <c r="M29"/>
      <c r="N29"/>
      <c r="O29"/>
      <c r="P29"/>
      <c r="Q29"/>
      <c r="R29"/>
      <c r="S29"/>
      <c r="T29"/>
      <c r="U29"/>
      <c r="V29"/>
      <c r="W29"/>
      <c r="X29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</row>
    <row r="30" spans="1:255" s="16" customFormat="1" ht="18" customHeight="1">
      <c r="A30" s="202" t="s">
        <v>12</v>
      </c>
      <c r="B30" s="1669">
        <f>+'TABLA CAPACIDAD'!C5</f>
        <v>80900</v>
      </c>
      <c r="C30" s="1669">
        <f>+'TABLA HACINAMIENTO'!C5</f>
        <v>97035</v>
      </c>
      <c r="D30" s="1669">
        <f t="shared" si="3"/>
        <v>16023</v>
      </c>
      <c r="E30" s="1670">
        <f t="shared" ref="E30:E40" si="4">+C30-D30</f>
        <v>81012</v>
      </c>
      <c r="F30" s="1669">
        <f>+'TABLA JURIDICA'!H8</f>
        <v>73379</v>
      </c>
      <c r="G30" s="1670">
        <f>+F30-D30</f>
        <v>57356</v>
      </c>
      <c r="H30" s="1671">
        <f t="shared" ref="H30:H39" si="5">+B30-G30</f>
        <v>23544</v>
      </c>
      <c r="I30" s="1672">
        <f t="shared" ref="I30:I40" si="6">+C30*1/B30-1</f>
        <v>0.1994437577255872</v>
      </c>
      <c r="J30" s="1673">
        <f t="shared" ref="J30:J41" si="7">+E30*1/B30-1</f>
        <v>1.3844252163164317E-3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</row>
    <row r="31" spans="1:255" s="16" customFormat="1" ht="18" customHeight="1">
      <c r="A31" s="203" t="s">
        <v>13</v>
      </c>
      <c r="B31" s="1674">
        <f>+'TABLA CAPACIDAD'!D$5</f>
        <v>80892</v>
      </c>
      <c r="C31" s="1674">
        <f>+'TABLA HACINAMIENTO'!E$5</f>
        <v>97171</v>
      </c>
      <c r="D31" s="1675">
        <f t="shared" si="3"/>
        <v>16131</v>
      </c>
      <c r="E31" s="1675">
        <f t="shared" si="4"/>
        <v>81040</v>
      </c>
      <c r="F31" s="1675">
        <f>+'TABLA JURIDICA'!H9</f>
        <v>72510</v>
      </c>
      <c r="G31" s="1674">
        <f t="shared" ref="G31:G40" si="8">+F31-D31</f>
        <v>56379</v>
      </c>
      <c r="H31" s="1676">
        <f t="shared" si="5"/>
        <v>24513</v>
      </c>
      <c r="I31" s="1677">
        <f t="shared" si="6"/>
        <v>0.20124363348662411</v>
      </c>
      <c r="J31" s="1678">
        <f t="shared" si="7"/>
        <v>1.8295999604411861E-3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</row>
    <row r="32" spans="1:255" s="16" customFormat="1" ht="18" customHeight="1">
      <c r="A32" s="202" t="s">
        <v>53</v>
      </c>
      <c r="B32" s="1669">
        <f>+'TABLA CAPACIDAD'!E$5</f>
        <v>81500</v>
      </c>
      <c r="C32" s="1669">
        <f>+'TABLA HACINAMIENTO'!E$5</f>
        <v>97171</v>
      </c>
      <c r="D32" s="1669">
        <f t="shared" si="3"/>
        <v>16259</v>
      </c>
      <c r="E32" s="1670">
        <f t="shared" si="4"/>
        <v>80912</v>
      </c>
      <c r="F32" s="1669">
        <f>+'TABLA JURIDICA'!H10</f>
        <v>73565</v>
      </c>
      <c r="G32" s="1670">
        <f t="shared" si="8"/>
        <v>57306</v>
      </c>
      <c r="H32" s="1671">
        <f t="shared" si="5"/>
        <v>24194</v>
      </c>
      <c r="I32" s="1672">
        <f t="shared" si="6"/>
        <v>0.19228220858895706</v>
      </c>
      <c r="J32" s="1673">
        <f t="shared" si="7"/>
        <v>-7.2147239263803398E-3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</row>
    <row r="33" spans="1:255" s="16" customFormat="1" ht="18" customHeight="1">
      <c r="A33" s="203" t="s">
        <v>243</v>
      </c>
      <c r="B33" s="1675">
        <f>+'TABLA CAPACIDAD'!F$5</f>
        <v>81500</v>
      </c>
      <c r="C33" s="1675">
        <f>+'TABLA HACINAMIENTO'!F$5</f>
        <v>96589</v>
      </c>
      <c r="D33" s="1675">
        <f t="shared" si="3"/>
        <v>16168</v>
      </c>
      <c r="E33" s="1675">
        <f t="shared" si="4"/>
        <v>80421</v>
      </c>
      <c r="F33" s="1675">
        <f>+'TABLA JURIDICA'!H11</f>
        <v>72695</v>
      </c>
      <c r="G33" s="1675">
        <f t="shared" si="8"/>
        <v>56527</v>
      </c>
      <c r="H33" s="1679">
        <f t="shared" si="5"/>
        <v>24973</v>
      </c>
      <c r="I33" s="1677">
        <f t="shared" si="6"/>
        <v>0.18514110429447861</v>
      </c>
      <c r="J33" s="1678">
        <f t="shared" si="7"/>
        <v>-1.3239263803681012E-2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</row>
    <row r="34" spans="1:255" s="16" customFormat="1" ht="18" customHeight="1">
      <c r="A34" s="202" t="s">
        <v>54</v>
      </c>
      <c r="B34" s="1669">
        <f>+'TABLA CAPACIDAD'!G$5</f>
        <v>81524</v>
      </c>
      <c r="C34" s="1669">
        <f>+'TABLA HACINAMIENTO'!G$5</f>
        <v>96400</v>
      </c>
      <c r="D34" s="1669">
        <f t="shared" si="3"/>
        <v>16088</v>
      </c>
      <c r="E34" s="1670">
        <f t="shared" si="4"/>
        <v>80312</v>
      </c>
      <c r="F34" s="1669">
        <f>+'TABLA JURIDICA'!H12</f>
        <v>72270</v>
      </c>
      <c r="G34" s="1670">
        <f t="shared" si="8"/>
        <v>56182</v>
      </c>
      <c r="H34" s="1671">
        <f t="shared" si="5"/>
        <v>25342</v>
      </c>
      <c r="I34" s="1672">
        <f t="shared" si="6"/>
        <v>0.18247387272459648</v>
      </c>
      <c r="J34" s="1673">
        <f t="shared" si="7"/>
        <v>-1.4866787694421291E-2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</row>
    <row r="35" spans="1:255" s="16" customFormat="1" ht="18" customHeight="1">
      <c r="A35" s="203" t="s">
        <v>56</v>
      </c>
      <c r="B35" s="1674">
        <f>+'TABLA CAPACIDAD'!H$5</f>
        <v>82326</v>
      </c>
      <c r="C35" s="1674">
        <f>+'TABLA HACINAMIENTO'!H$5</f>
        <v>96386</v>
      </c>
      <c r="D35" s="1674">
        <f t="shared" si="3"/>
        <v>16159</v>
      </c>
      <c r="E35" s="1674">
        <f t="shared" si="4"/>
        <v>80227</v>
      </c>
      <c r="F35" s="1674">
        <f>+'TABLA JURIDICA'!H13</f>
        <v>71879</v>
      </c>
      <c r="G35" s="1674">
        <f t="shared" si="8"/>
        <v>55720</v>
      </c>
      <c r="H35" s="1676">
        <f t="shared" si="5"/>
        <v>26606</v>
      </c>
      <c r="I35" s="1680">
        <f t="shared" si="6"/>
        <v>0.1707844423389937</v>
      </c>
      <c r="J35" s="1681">
        <f t="shared" si="7"/>
        <v>-2.5496198041930818E-2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</row>
    <row r="36" spans="1:255" s="16" customFormat="1" ht="18" customHeight="1">
      <c r="A36" s="202" t="s">
        <v>68</v>
      </c>
      <c r="B36" s="1669">
        <f>+'TABLA CAPACIDAD'!I$5</f>
        <v>82326</v>
      </c>
      <c r="C36" s="1669">
        <f>+'TABLA HACINAMIENTO'!I$5</f>
        <v>96385</v>
      </c>
      <c r="D36" s="1669">
        <f t="shared" si="3"/>
        <v>16120</v>
      </c>
      <c r="E36" s="1670">
        <f t="shared" si="4"/>
        <v>80265</v>
      </c>
      <c r="F36" s="1669">
        <f>+'TABLA JURIDICA'!H14</f>
        <v>71812</v>
      </c>
      <c r="G36" s="1670">
        <f t="shared" si="8"/>
        <v>55692</v>
      </c>
      <c r="H36" s="1671">
        <f t="shared" si="5"/>
        <v>26634</v>
      </c>
      <c r="I36" s="1672">
        <f t="shared" si="6"/>
        <v>0.17077229550810191</v>
      </c>
      <c r="J36" s="1673">
        <f t="shared" si="7"/>
        <v>-2.5034618468041669E-2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spans="1:255" s="16" customFormat="1" ht="18" customHeight="1">
      <c r="A37" s="203" t="s">
        <v>69</v>
      </c>
      <c r="B37" s="1674">
        <f>+'TABLA CAPACIDAD'!J$5</f>
        <v>82326</v>
      </c>
      <c r="C37" s="1674">
        <f>+'TABLA HACINAMIENTO'!J$5</f>
        <v>96819</v>
      </c>
      <c r="D37" s="1674">
        <f t="shared" si="3"/>
        <v>16211</v>
      </c>
      <c r="E37" s="1674">
        <f t="shared" si="4"/>
        <v>80608</v>
      </c>
      <c r="F37" s="1674">
        <f>+'TABLA JURIDICA'!H15</f>
        <v>71956</v>
      </c>
      <c r="G37" s="1674">
        <f t="shared" si="8"/>
        <v>55745</v>
      </c>
      <c r="H37" s="1676">
        <f t="shared" si="5"/>
        <v>26581</v>
      </c>
      <c r="I37" s="1680">
        <f t="shared" si="6"/>
        <v>0.17604402011515186</v>
      </c>
      <c r="J37" s="1681">
        <f t="shared" si="7"/>
        <v>-2.0868255472147323E-2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</row>
    <row r="38" spans="1:255" s="16" customFormat="1" ht="18" customHeight="1">
      <c r="A38" s="202" t="s">
        <v>248</v>
      </c>
      <c r="B38" s="1669">
        <f>+'TABLA CAPACIDAD'!K$5</f>
        <v>80429</v>
      </c>
      <c r="C38" s="1669">
        <f>+'TABLA HACINAMIENTO'!K$5</f>
        <v>96898</v>
      </c>
      <c r="D38" s="1669">
        <f t="shared" si="3"/>
        <v>16376</v>
      </c>
      <c r="E38" s="1670">
        <f t="shared" si="4"/>
        <v>80522</v>
      </c>
      <c r="F38" s="1669">
        <f>+'TABLA JURIDICA'!H16</f>
        <v>71821</v>
      </c>
      <c r="G38" s="1670">
        <f t="shared" si="8"/>
        <v>55445</v>
      </c>
      <c r="H38" s="1671">
        <f t="shared" si="5"/>
        <v>24984</v>
      </c>
      <c r="I38" s="1672">
        <f t="shared" si="6"/>
        <v>0.20476445063347803</v>
      </c>
      <c r="J38" s="1673">
        <f t="shared" si="7"/>
        <v>1.1562993447638004E-3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</row>
    <row r="39" spans="1:255" s="16" customFormat="1" ht="18" customHeight="1">
      <c r="A39" s="203" t="s">
        <v>244</v>
      </c>
      <c r="B39" s="1674">
        <f>+'TABLA CAPACIDAD'!L$5</f>
        <v>80429</v>
      </c>
      <c r="C39" s="1674">
        <f>+'TABLA HACINAMIENTO'!L$5</f>
        <v>97270</v>
      </c>
      <c r="D39" s="1674">
        <f t="shared" si="3"/>
        <v>16426</v>
      </c>
      <c r="E39" s="1674">
        <f t="shared" si="4"/>
        <v>80844</v>
      </c>
      <c r="F39" s="1674">
        <f>+'TABLA JURIDICA'!H17</f>
        <v>71672</v>
      </c>
      <c r="G39" s="1674">
        <f t="shared" si="8"/>
        <v>55246</v>
      </c>
      <c r="H39" s="1676">
        <f t="shared" si="5"/>
        <v>25183</v>
      </c>
      <c r="I39" s="1680">
        <f t="shared" si="6"/>
        <v>0.20938964801253279</v>
      </c>
      <c r="J39" s="1681">
        <f t="shared" si="7"/>
        <v>5.1598304094293557E-3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</row>
    <row r="40" spans="1:255" s="16" customFormat="1" ht="18" customHeight="1">
      <c r="A40" s="202" t="s">
        <v>249</v>
      </c>
      <c r="B40" s="1669">
        <f>+'TABLA CAPACIDAD'!M$5</f>
        <v>80429</v>
      </c>
      <c r="C40" s="1669">
        <f>+'TABLA HACINAMIENTO'!M$5</f>
        <v>96913</v>
      </c>
      <c r="D40" s="1669">
        <f t="shared" si="3"/>
        <v>16307</v>
      </c>
      <c r="E40" s="1670">
        <f t="shared" si="4"/>
        <v>80606</v>
      </c>
      <c r="F40" s="1669">
        <f>+'TABLA JURIDICA'!H18</f>
        <v>71318</v>
      </c>
      <c r="G40" s="1670">
        <f t="shared" si="8"/>
        <v>55011</v>
      </c>
      <c r="H40" s="1671">
        <f>+B40-G40</f>
        <v>25418</v>
      </c>
      <c r="I40" s="1685">
        <f t="shared" si="6"/>
        <v>0.20495095052779466</v>
      </c>
      <c r="J40" s="1686">
        <f t="shared" si="7"/>
        <v>2.200698752937269E-3</v>
      </c>
      <c r="K40"/>
      <c r="L40" s="1073" t="s">
        <v>721</v>
      </c>
      <c r="M40" s="1073" t="s">
        <v>722</v>
      </c>
      <c r="N40"/>
      <c r="O40"/>
      <c r="P40"/>
      <c r="Q40"/>
      <c r="R40"/>
      <c r="S40"/>
      <c r="T40"/>
      <c r="U40"/>
      <c r="V40"/>
      <c r="W40"/>
      <c r="X40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</row>
    <row r="41" spans="1:255" s="7" customFormat="1" ht="31.5" customHeight="1" thickBot="1">
      <c r="A41" s="1660" t="s">
        <v>250</v>
      </c>
      <c r="B41" s="1682">
        <f>AVERAGE(B29:B40)</f>
        <v>81268.833333333328</v>
      </c>
      <c r="C41" s="1682">
        <f t="shared" ref="C41:H41" si="9">AVERAGE(C29:C40)</f>
        <v>96817.666666666672</v>
      </c>
      <c r="D41" s="1682">
        <f t="shared" si="9"/>
        <v>16189.083333333334</v>
      </c>
      <c r="E41" s="1682">
        <f t="shared" si="9"/>
        <v>80628.583333333328</v>
      </c>
      <c r="F41" s="1682">
        <f t="shared" si="9"/>
        <v>72353.083333333328</v>
      </c>
      <c r="G41" s="1682">
        <f t="shared" si="9"/>
        <v>56164</v>
      </c>
      <c r="H41" s="1682">
        <f t="shared" si="9"/>
        <v>25104.833333333332</v>
      </c>
      <c r="I41" s="1683">
        <f>AVERAGE(I29:I40)</f>
        <v>0.19144189866509134</v>
      </c>
      <c r="J41" s="1684">
        <f t="shared" si="7"/>
        <v>-7.8781738796955825E-3</v>
      </c>
      <c r="K41"/>
      <c r="L41" s="15">
        <f>+E41*1/B41-1</f>
        <v>-7.8781738796955825E-3</v>
      </c>
      <c r="M41" s="1008">
        <f>+E41-B41</f>
        <v>-640.25</v>
      </c>
      <c r="N41" t="s">
        <v>720</v>
      </c>
      <c r="O41"/>
      <c r="P41"/>
      <c r="Q41"/>
      <c r="R41"/>
      <c r="S41"/>
      <c r="T41"/>
      <c r="U41"/>
      <c r="V41"/>
      <c r="W41"/>
      <c r="X41"/>
    </row>
    <row r="42" spans="1:255">
      <c r="E42" s="1008"/>
      <c r="L42" s="15">
        <f>+G41*1/B41-1</f>
        <v>-0.30891096012616559</v>
      </c>
      <c r="M42" s="1008">
        <f>+G41-B41</f>
        <v>-25104.833333333328</v>
      </c>
      <c r="N42" t="s">
        <v>723</v>
      </c>
    </row>
    <row r="43" spans="1:255" s="690" customFormat="1">
      <c r="C43" s="1008">
        <f>+C41-B41</f>
        <v>15548.833333333343</v>
      </c>
      <c r="E43" s="691"/>
      <c r="G43" s="691"/>
      <c r="H43" s="15">
        <f>+H41/B41</f>
        <v>0.30891096012616565</v>
      </c>
    </row>
    <row r="44" spans="1:255" s="690" customFormat="1">
      <c r="C44" s="690" t="s">
        <v>853</v>
      </c>
      <c r="E44" s="15"/>
    </row>
    <row r="45" spans="1:255" ht="15.75" thickBot="1"/>
    <row r="46" spans="1:255" s="218" customFormat="1" ht="33" customHeight="1">
      <c r="A46" s="2154" t="s">
        <v>70</v>
      </c>
      <c r="B46" s="2152" t="s">
        <v>415</v>
      </c>
      <c r="C46" s="2152"/>
      <c r="D46" s="2152"/>
      <c r="E46" s="2152" t="s">
        <v>23</v>
      </c>
      <c r="F46" s="2152"/>
      <c r="G46" s="2152"/>
      <c r="H46" s="2152" t="s">
        <v>417</v>
      </c>
      <c r="I46" s="2152"/>
      <c r="J46" s="2152"/>
      <c r="K46" s="2152" t="s">
        <v>691</v>
      </c>
      <c r="L46" s="2152"/>
      <c r="M46" s="2153"/>
      <c r="N46" s="609"/>
      <c r="O46" s="609"/>
      <c r="P46" s="609"/>
    </row>
    <row r="47" spans="1:255" s="218" customFormat="1" ht="33" customHeight="1">
      <c r="A47" s="2155"/>
      <c r="B47" s="1009" t="s">
        <v>692</v>
      </c>
      <c r="C47" s="1009" t="s">
        <v>693</v>
      </c>
      <c r="D47" s="1009" t="s">
        <v>406</v>
      </c>
      <c r="E47" s="1009" t="s">
        <v>692</v>
      </c>
      <c r="F47" s="1009" t="s">
        <v>693</v>
      </c>
      <c r="G47" s="1009" t="s">
        <v>406</v>
      </c>
      <c r="H47" s="1009" t="s">
        <v>692</v>
      </c>
      <c r="I47" s="1009" t="s">
        <v>693</v>
      </c>
      <c r="J47" s="1009" t="s">
        <v>406</v>
      </c>
      <c r="K47" s="1010" t="s">
        <v>694</v>
      </c>
      <c r="L47" s="1010" t="s">
        <v>693</v>
      </c>
      <c r="M47" s="1011" t="s">
        <v>406</v>
      </c>
      <c r="N47" s="609"/>
      <c r="O47" s="609"/>
      <c r="P47" s="609"/>
    </row>
    <row r="48" spans="1:255" s="218" customFormat="1" ht="26.25" customHeight="1">
      <c r="A48" s="1017">
        <v>2017</v>
      </c>
      <c r="B48" s="1018">
        <v>77973</v>
      </c>
      <c r="C48" s="1018">
        <v>15311</v>
      </c>
      <c r="D48" s="1019">
        <f>+C48/B48</f>
        <v>0.19636284354840777</v>
      </c>
      <c r="E48" s="1020">
        <v>32204</v>
      </c>
      <c r="F48" s="1020">
        <v>4365</v>
      </c>
      <c r="G48" s="1019">
        <f>+F48/E48</f>
        <v>0.13554216867469879</v>
      </c>
      <c r="H48" s="1020">
        <v>3879</v>
      </c>
      <c r="I48" s="1020">
        <v>506</v>
      </c>
      <c r="J48" s="1019">
        <f>+I48/H48</f>
        <v>0.13044599123485434</v>
      </c>
      <c r="K48" s="1021">
        <f>+B48+H48+E48</f>
        <v>114056</v>
      </c>
      <c r="L48" s="1021">
        <f>+C48+F48+I48</f>
        <v>20182</v>
      </c>
      <c r="M48" s="1022">
        <f>+L48/K48</f>
        <v>0.17694816581328471</v>
      </c>
      <c r="N48" s="608"/>
      <c r="O48" s="608"/>
    </row>
    <row r="49" spans="1:26" s="218" customFormat="1" ht="26.25" customHeight="1">
      <c r="A49" s="1012">
        <v>2018</v>
      </c>
      <c r="B49" s="1013">
        <v>78464</v>
      </c>
      <c r="C49" s="1013">
        <v>16080</v>
      </c>
      <c r="D49" s="1014">
        <f>+C49/B49</f>
        <v>0.20493474714518761</v>
      </c>
      <c r="E49" s="1013">
        <v>31867</v>
      </c>
      <c r="F49" s="1013">
        <v>4416</v>
      </c>
      <c r="G49" s="1014">
        <f t="shared" ref="G49:G52" si="10">+F49/E49</f>
        <v>0.13857595631844855</v>
      </c>
      <c r="H49" s="1013">
        <v>4154</v>
      </c>
      <c r="I49" s="1013">
        <v>627</v>
      </c>
      <c r="J49" s="1014">
        <f t="shared" ref="J49:J52" si="11">+I49/H49</f>
        <v>0.1509388541165142</v>
      </c>
      <c r="K49" s="1015">
        <f>+B49+H49+E49</f>
        <v>114485</v>
      </c>
      <c r="L49" s="1015">
        <f>+C49+F49+I49</f>
        <v>21123</v>
      </c>
      <c r="M49" s="1016">
        <f t="shared" ref="M49:M52" si="12">+L49/K49</f>
        <v>0.18450452024282657</v>
      </c>
      <c r="N49" s="608"/>
      <c r="O49" s="608"/>
    </row>
    <row r="50" spans="1:26" s="218" customFormat="1" ht="26.25" customHeight="1">
      <c r="A50" s="1017">
        <v>2019</v>
      </c>
      <c r="B50" s="1020">
        <v>82605</v>
      </c>
      <c r="C50" s="1020">
        <v>18425</v>
      </c>
      <c r="D50" s="1019">
        <f>+C50/B50</f>
        <v>0.22304945221233582</v>
      </c>
      <c r="E50" s="1020">
        <v>31841</v>
      </c>
      <c r="F50" s="1020">
        <v>4649</v>
      </c>
      <c r="G50" s="1019">
        <f t="shared" si="10"/>
        <v>0.14600672089444428</v>
      </c>
      <c r="H50" s="1020">
        <v>3593</v>
      </c>
      <c r="I50" s="1020">
        <v>685</v>
      </c>
      <c r="J50" s="1019">
        <f t="shared" si="11"/>
        <v>0.19064848316170332</v>
      </c>
      <c r="K50" s="1021">
        <f t="shared" ref="K50:K52" si="13">+B50+H50+E50</f>
        <v>118039</v>
      </c>
      <c r="L50" s="1021">
        <f>+C50+F50+I50</f>
        <v>23759</v>
      </c>
      <c r="M50" s="1022">
        <f t="shared" si="12"/>
        <v>0.20128093257313262</v>
      </c>
      <c r="N50" s="608"/>
      <c r="O50" s="608"/>
    </row>
    <row r="51" spans="1:26" s="218" customFormat="1" ht="26.25" customHeight="1">
      <c r="A51" s="1012">
        <v>2020</v>
      </c>
      <c r="B51" s="1319">
        <v>73084</v>
      </c>
      <c r="C51" s="1319">
        <v>16007</v>
      </c>
      <c r="D51" s="1014">
        <f t="shared" ref="D51:D52" si="14">+C51/B51</f>
        <v>0.21902194734825681</v>
      </c>
      <c r="E51" s="1319">
        <v>35854</v>
      </c>
      <c r="F51" s="1319">
        <v>5881</v>
      </c>
      <c r="G51" s="1320">
        <f t="shared" si="10"/>
        <v>0.1640263290009483</v>
      </c>
      <c r="H51" s="1319">
        <v>3784</v>
      </c>
      <c r="I51" s="1319">
        <v>893</v>
      </c>
      <c r="J51" s="1320">
        <f t="shared" si="11"/>
        <v>0.23599365750528542</v>
      </c>
      <c r="K51" s="1015">
        <f t="shared" si="13"/>
        <v>112722</v>
      </c>
      <c r="L51" s="1015">
        <v>22781</v>
      </c>
      <c r="M51" s="1016">
        <f t="shared" si="12"/>
        <v>0.20209896914533099</v>
      </c>
      <c r="N51" s="608"/>
      <c r="O51" s="608"/>
    </row>
    <row r="52" spans="1:26" s="218" customFormat="1" ht="26.25" customHeight="1" thickBot="1">
      <c r="A52" s="1321">
        <v>2021</v>
      </c>
      <c r="B52" s="1322">
        <v>71318</v>
      </c>
      <c r="C52" s="1322">
        <v>16307</v>
      </c>
      <c r="D52" s="1323">
        <f t="shared" si="14"/>
        <v>0.22865195322359011</v>
      </c>
      <c r="E52" s="1322">
        <v>33073</v>
      </c>
      <c r="F52" s="1322">
        <v>5387</v>
      </c>
      <c r="G52" s="1323">
        <f t="shared" si="10"/>
        <v>0.16288210927342545</v>
      </c>
      <c r="H52" s="1322">
        <v>3574</v>
      </c>
      <c r="I52" s="1322">
        <v>851</v>
      </c>
      <c r="J52" s="1323">
        <f t="shared" si="11"/>
        <v>0.23810856183547846</v>
      </c>
      <c r="K52" s="1324">
        <f t="shared" si="13"/>
        <v>107965</v>
      </c>
      <c r="L52" s="1324">
        <v>22545</v>
      </c>
      <c r="M52" s="1325">
        <f t="shared" si="12"/>
        <v>0.20881767239383134</v>
      </c>
      <c r="N52" s="608"/>
      <c r="O52" s="608"/>
    </row>
    <row r="53" spans="1:26">
      <c r="H53" s="1008"/>
      <c r="I53" s="1008"/>
    </row>
    <row r="54" spans="1:26" s="1007" customFormat="1" ht="23.25">
      <c r="B54" s="1020">
        <f>AVERAGE(B48:B52)</f>
        <v>76688.800000000003</v>
      </c>
      <c r="C54" s="1020">
        <f>AVERAGE(C48:C52)</f>
        <v>16426</v>
      </c>
      <c r="D54" s="1330">
        <f>AVERAGE(D48:D52)</f>
        <v>0.21440418869555566</v>
      </c>
      <c r="H54" s="1008"/>
      <c r="I54" s="1008"/>
      <c r="K54" s="1008"/>
    </row>
    <row r="55" spans="1:26" s="1007" customFormat="1">
      <c r="H55" s="1008"/>
      <c r="I55" s="1008"/>
    </row>
    <row r="56" spans="1:26" s="1007" customFormat="1">
      <c r="B56" s="15">
        <f>+B52*1/B48-1</f>
        <v>-8.5350057071037377E-2</v>
      </c>
      <c r="C56" s="15">
        <f>+C52*1/C48-1</f>
        <v>6.5051270328521982E-2</v>
      </c>
      <c r="H56" s="1008"/>
      <c r="I56" s="1008"/>
    </row>
    <row r="58" spans="1:26">
      <c r="B58" s="2142" t="s">
        <v>719</v>
      </c>
      <c r="C58" s="2142"/>
      <c r="D58" s="2142"/>
    </row>
    <row r="60" spans="1:26">
      <c r="B60" t="s">
        <v>262</v>
      </c>
      <c r="C60" t="s">
        <v>718</v>
      </c>
      <c r="D60" t="s">
        <v>291</v>
      </c>
    </row>
    <row r="61" spans="1:26" ht="18">
      <c r="A61" s="201" t="s">
        <v>247</v>
      </c>
      <c r="B61" s="1008">
        <f>+'TABLA POBLACION'!G21</f>
        <v>173286</v>
      </c>
      <c r="C61" s="1008">
        <f>+'TABLA JURIDICA'!H7+'TABLA DOMICILIARIA'!H7+'TABLA VIGIL ELECTRONICA'!H7</f>
        <v>111738</v>
      </c>
      <c r="D61" s="1008">
        <f>+M6</f>
        <v>22739</v>
      </c>
    </row>
    <row r="62" spans="1:26" ht="18">
      <c r="A62" s="202" t="s">
        <v>12</v>
      </c>
      <c r="B62" s="1008">
        <f>+'TABLA POBLACION'!G22</f>
        <v>173493</v>
      </c>
      <c r="C62" s="1008">
        <f>+'TABLA JURIDICA'!H8+'TABLA DOMICILIARIA'!H8+'TABLA VIGIL ELECTRONICA'!H8</f>
        <v>112355</v>
      </c>
      <c r="D62" s="1008">
        <f t="shared" ref="D62:D73" si="15">+M7</f>
        <v>22657</v>
      </c>
    </row>
    <row r="63" spans="1:26" ht="18">
      <c r="A63" s="203" t="s">
        <v>13</v>
      </c>
      <c r="B63" s="1008">
        <f>+'TABLA POBLACION'!G23</f>
        <v>173490</v>
      </c>
      <c r="C63" s="1008">
        <f>+'TABLA JURIDICA'!H9+'TABLA DOMICILIARIA'!H9+'TABLA VIGIL ELECTRONICA'!H9</f>
        <v>111331</v>
      </c>
      <c r="D63" s="1008">
        <f t="shared" si="15"/>
        <v>22627</v>
      </c>
      <c r="F63" s="120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8">
      <c r="A64" s="202" t="s">
        <v>53</v>
      </c>
      <c r="B64" s="1008">
        <f>+'TABLA POBLACION'!G24</f>
        <v>173391</v>
      </c>
      <c r="C64" s="1008">
        <f>+'TABLA JURIDICA'!H10+'TABLA DOMICILIARIA'!H10+'TABLA VIGIL ELECTRONICA'!H10</f>
        <v>111101</v>
      </c>
      <c r="D64" s="1008">
        <f t="shared" si="15"/>
        <v>22706</v>
      </c>
    </row>
    <row r="65" spans="1:4" ht="18">
      <c r="A65" s="203" t="s">
        <v>243</v>
      </c>
      <c r="B65" s="1008">
        <f>+'TABLA POBLACION'!G25</f>
        <v>172684</v>
      </c>
      <c r="C65" s="1008">
        <f>+'TABLA JURIDICA'!H11+'TABLA DOMICILIARIA'!H11+'TABLA VIGIL ELECTRONICA'!H11</f>
        <v>111129</v>
      </c>
      <c r="D65" s="1008">
        <f t="shared" si="15"/>
        <v>22604</v>
      </c>
    </row>
    <row r="66" spans="1:4" ht="18">
      <c r="A66" s="202" t="s">
        <v>54</v>
      </c>
      <c r="B66" s="1008">
        <f>+'TABLA POBLACION'!G26</f>
        <v>171528</v>
      </c>
      <c r="C66" s="1008">
        <f>+'TABLA JURIDICA'!H12+'TABLA DOMICILIARIA'!H12+'TABLA VIGIL ELECTRONICA'!H12</f>
        <v>110549</v>
      </c>
      <c r="D66" s="1008">
        <f t="shared" si="15"/>
        <v>22504</v>
      </c>
    </row>
    <row r="67" spans="1:4" ht="18">
      <c r="A67" s="203" t="s">
        <v>56</v>
      </c>
      <c r="B67" s="1008">
        <f>+'TABLA POBLACION'!G27</f>
        <v>172633</v>
      </c>
      <c r="C67" s="1008">
        <f>+'TABLA JURIDICA'!H13+'TABLA DOMICILIARIA'!H13+'TABLA VIGIL ELECTRONICA'!H13</f>
        <v>109977</v>
      </c>
      <c r="D67" s="1008">
        <f t="shared" si="15"/>
        <v>22545</v>
      </c>
    </row>
    <row r="68" spans="1:4" ht="18">
      <c r="A68" s="202" t="s">
        <v>68</v>
      </c>
      <c r="B68" s="1008">
        <f>+'TABLA POBLACION'!G28</f>
        <v>171554</v>
      </c>
      <c r="C68" s="1008">
        <f>+'TABLA JURIDICA'!H14+'TABLA DOMICILIARIA'!H14+'TABLA VIGIL ELECTRONICA'!H14</f>
        <v>109153</v>
      </c>
      <c r="D68" s="1008">
        <f t="shared" si="15"/>
        <v>22451</v>
      </c>
    </row>
    <row r="69" spans="1:4" ht="18">
      <c r="A69" s="203" t="s">
        <v>69</v>
      </c>
      <c r="B69" s="1008">
        <f>+'TABLA POBLACION'!G29</f>
        <v>172709</v>
      </c>
      <c r="C69" s="1008">
        <f>+'TABLA JURIDICA'!H15+'TABLA DOMICILIARIA'!H15+'TABLA VIGIL ELECTRONICA'!H15</f>
        <v>109587</v>
      </c>
      <c r="D69" s="1008">
        <f t="shared" si="15"/>
        <v>22576</v>
      </c>
    </row>
    <row r="70" spans="1:4" ht="18">
      <c r="A70" s="202" t="s">
        <v>248</v>
      </c>
      <c r="B70" s="1008">
        <f>+'TABLA POBLACION'!G30</f>
        <v>172546</v>
      </c>
      <c r="C70" s="1008">
        <f>+'TABLA JURIDICA'!H16+'TABLA DOMICILIARIA'!H16+'TABLA VIGIL ELECTRONICA'!H16</f>
        <v>109153</v>
      </c>
      <c r="D70" s="1008">
        <f t="shared" si="15"/>
        <v>22710</v>
      </c>
    </row>
    <row r="71" spans="1:4" ht="18">
      <c r="A71" s="203" t="s">
        <v>244</v>
      </c>
      <c r="B71" s="1008">
        <f>+'TABLA POBLACION'!G31</f>
        <v>172692</v>
      </c>
      <c r="C71" s="1008">
        <f>+'TABLA JURIDICA'!H17+'TABLA DOMICILIARIA'!H17+'TABLA VIGIL ELECTRONICA'!H17</f>
        <v>108610</v>
      </c>
      <c r="D71" s="1008">
        <f t="shared" si="15"/>
        <v>22665</v>
      </c>
    </row>
    <row r="72" spans="1:4" ht="18">
      <c r="A72" s="204" t="s">
        <v>249</v>
      </c>
      <c r="B72" s="1008">
        <f>+'TABLA POBLACION'!G32</f>
        <v>172018</v>
      </c>
      <c r="C72" s="1008">
        <f>+'TABLA JURIDICA'!H18+'TABLA DOMICILIARIA'!H18+'TABLA VIGIL ELECTRONICA'!H18</f>
        <v>107965</v>
      </c>
      <c r="D72" s="1008">
        <f t="shared" si="15"/>
        <v>22545</v>
      </c>
    </row>
    <row r="73" spans="1:4" ht="18.75" thickBot="1">
      <c r="A73" s="205" t="s">
        <v>250</v>
      </c>
      <c r="B73" s="1329">
        <f>AVERAGE(B61:B72)</f>
        <v>172668.66666666666</v>
      </c>
      <c r="C73" s="1329">
        <f>AVERAGE(C61:C72)</f>
        <v>110220.66666666667</v>
      </c>
      <c r="D73" s="1329">
        <f t="shared" si="15"/>
        <v>22610.75</v>
      </c>
    </row>
  </sheetData>
  <mergeCells count="34">
    <mergeCell ref="B58:D58"/>
    <mergeCell ref="H21:J21"/>
    <mergeCell ref="A1:M2"/>
    <mergeCell ref="B4:D4"/>
    <mergeCell ref="E4:G4"/>
    <mergeCell ref="H4:J4"/>
    <mergeCell ref="K4:M4"/>
    <mergeCell ref="A4:A5"/>
    <mergeCell ref="A19:A20"/>
    <mergeCell ref="B20:D20"/>
    <mergeCell ref="H46:J46"/>
    <mergeCell ref="K46:M46"/>
    <mergeCell ref="A46:A47"/>
    <mergeCell ref="B46:D46"/>
    <mergeCell ref="E20:G20"/>
    <mergeCell ref="E46:G46"/>
    <mergeCell ref="A27:J27"/>
    <mergeCell ref="B22:D22"/>
    <mergeCell ref="E22:G22"/>
    <mergeCell ref="H22:J22"/>
    <mergeCell ref="B21:D21"/>
    <mergeCell ref="E21:G21"/>
    <mergeCell ref="B24:D24"/>
    <mergeCell ref="E24:G24"/>
    <mergeCell ref="H24:J24"/>
    <mergeCell ref="B25:D25"/>
    <mergeCell ref="E25:G25"/>
    <mergeCell ref="H25:J25"/>
    <mergeCell ref="K25:M25"/>
    <mergeCell ref="H20:J20"/>
    <mergeCell ref="K20:M20"/>
    <mergeCell ref="K22:M22"/>
    <mergeCell ref="K21:M21"/>
    <mergeCell ref="K24:M24"/>
  </mergeCells>
  <pageMargins left="0.7" right="0.7" top="0.75" bottom="0.75" header="0.3" footer="0.3"/>
  <pageSetup orientation="portrait" r:id="rId1"/>
  <ignoredErrors>
    <ignoredError sqref="B18:M18 C22:D22 D19 G19 J19 M19 C20:D20 K20:M20" 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J23"/>
  <sheetViews>
    <sheetView showGridLines="0" topLeftCell="A4" zoomScale="80" zoomScaleNormal="80" workbookViewId="0">
      <selection activeCell="J6" sqref="J6:J17"/>
    </sheetView>
  </sheetViews>
  <sheetFormatPr baseColWidth="10" defaultRowHeight="15"/>
  <cols>
    <col min="1" max="1" width="19.28515625" customWidth="1"/>
    <col min="2" max="10" width="13.5703125" customWidth="1"/>
  </cols>
  <sheetData>
    <row r="2" spans="1:10" ht="15.75">
      <c r="A2" s="1890" t="s">
        <v>859</v>
      </c>
      <c r="B2" s="1890"/>
      <c r="C2" s="1890"/>
      <c r="D2" s="1890"/>
      <c r="E2" s="1890"/>
      <c r="F2" s="1890"/>
      <c r="G2" s="1890"/>
      <c r="H2" s="1890"/>
      <c r="I2" s="1890"/>
      <c r="J2" s="1890"/>
    </row>
    <row r="3" spans="1:10" ht="15.75" thickBot="1"/>
    <row r="4" spans="1:10" s="16" customFormat="1" ht="21" customHeight="1">
      <c r="A4" s="2162" t="s">
        <v>32</v>
      </c>
      <c r="B4" s="2164" t="s">
        <v>317</v>
      </c>
      <c r="C4" s="2164"/>
      <c r="D4" s="2164"/>
      <c r="E4" s="2164" t="s">
        <v>318</v>
      </c>
      <c r="F4" s="2164"/>
      <c r="G4" s="2164"/>
      <c r="H4" s="2164" t="s">
        <v>442</v>
      </c>
      <c r="I4" s="2164"/>
      <c r="J4" s="2165"/>
    </row>
    <row r="5" spans="1:10" s="16" customFormat="1" ht="21" customHeight="1">
      <c r="A5" s="2163"/>
      <c r="B5" s="642" t="s">
        <v>812</v>
      </c>
      <c r="C5" s="642" t="s">
        <v>811</v>
      </c>
      <c r="D5" s="642" t="s">
        <v>434</v>
      </c>
      <c r="E5" s="642" t="s">
        <v>812</v>
      </c>
      <c r="F5" s="642" t="s">
        <v>811</v>
      </c>
      <c r="G5" s="642" t="s">
        <v>434</v>
      </c>
      <c r="H5" s="642" t="s">
        <v>812</v>
      </c>
      <c r="I5" s="642" t="s">
        <v>811</v>
      </c>
      <c r="J5" s="643" t="s">
        <v>6</v>
      </c>
    </row>
    <row r="6" spans="1:10" s="16" customFormat="1" ht="16.5">
      <c r="A6" s="206" t="s">
        <v>247</v>
      </c>
      <c r="B6" s="224">
        <v>447</v>
      </c>
      <c r="C6" s="224">
        <v>54</v>
      </c>
      <c r="D6" s="224">
        <f>SUM(B6:C6)</f>
        <v>501</v>
      </c>
      <c r="E6" s="224">
        <v>18</v>
      </c>
      <c r="F6" s="224">
        <v>3</v>
      </c>
      <c r="G6" s="224">
        <f>SUM(E6:F6)</f>
        <v>21</v>
      </c>
      <c r="H6" s="224">
        <f>+B6+E6</f>
        <v>465</v>
      </c>
      <c r="I6" s="224">
        <f>+C6+F6</f>
        <v>57</v>
      </c>
      <c r="J6" s="225">
        <f>+I6+H6</f>
        <v>522</v>
      </c>
    </row>
    <row r="7" spans="1:10" s="16" customFormat="1" ht="16.5">
      <c r="A7" s="207" t="s">
        <v>12</v>
      </c>
      <c r="B7" s="226">
        <v>515</v>
      </c>
      <c r="C7" s="226">
        <v>45</v>
      </c>
      <c r="D7" s="226">
        <f t="shared" ref="D7:D17" si="0">SUM(B7:C7)</f>
        <v>560</v>
      </c>
      <c r="E7" s="226">
        <v>21</v>
      </c>
      <c r="F7" s="226">
        <v>0</v>
      </c>
      <c r="G7" s="226">
        <f t="shared" ref="G7:G17" si="1">SUM(E7:F7)</f>
        <v>21</v>
      </c>
      <c r="H7" s="226">
        <f t="shared" ref="H7:I17" si="2">+B7+E7</f>
        <v>536</v>
      </c>
      <c r="I7" s="226">
        <f t="shared" si="2"/>
        <v>45</v>
      </c>
      <c r="J7" s="227">
        <f t="shared" ref="J7:J17" si="3">+I7+H7</f>
        <v>581</v>
      </c>
    </row>
    <row r="8" spans="1:10" s="16" customFormat="1" ht="16.5">
      <c r="A8" s="208" t="s">
        <v>13</v>
      </c>
      <c r="B8" s="228">
        <v>684</v>
      </c>
      <c r="C8" s="228">
        <v>62</v>
      </c>
      <c r="D8" s="228">
        <f t="shared" si="0"/>
        <v>746</v>
      </c>
      <c r="E8" s="228">
        <v>38</v>
      </c>
      <c r="F8" s="228">
        <v>2</v>
      </c>
      <c r="G8" s="228">
        <f t="shared" si="1"/>
        <v>40</v>
      </c>
      <c r="H8" s="228">
        <f t="shared" si="2"/>
        <v>722</v>
      </c>
      <c r="I8" s="228">
        <f t="shared" si="2"/>
        <v>64</v>
      </c>
      <c r="J8" s="229">
        <f t="shared" si="3"/>
        <v>786</v>
      </c>
    </row>
    <row r="9" spans="1:10" s="16" customFormat="1" ht="16.5">
      <c r="A9" s="207" t="s">
        <v>53</v>
      </c>
      <c r="B9" s="226">
        <v>603</v>
      </c>
      <c r="C9" s="226">
        <v>52</v>
      </c>
      <c r="D9" s="226">
        <f t="shared" si="0"/>
        <v>655</v>
      </c>
      <c r="E9" s="226">
        <v>23</v>
      </c>
      <c r="F9" s="226">
        <v>0</v>
      </c>
      <c r="G9" s="226">
        <f t="shared" si="1"/>
        <v>23</v>
      </c>
      <c r="H9" s="226">
        <f t="shared" si="2"/>
        <v>626</v>
      </c>
      <c r="I9" s="226">
        <f t="shared" si="2"/>
        <v>52</v>
      </c>
      <c r="J9" s="227">
        <f t="shared" si="3"/>
        <v>678</v>
      </c>
    </row>
    <row r="10" spans="1:10" s="16" customFormat="1" ht="16.5">
      <c r="A10" s="208" t="s">
        <v>243</v>
      </c>
      <c r="B10" s="228">
        <v>571</v>
      </c>
      <c r="C10" s="228">
        <v>53</v>
      </c>
      <c r="D10" s="228">
        <f t="shared" si="0"/>
        <v>624</v>
      </c>
      <c r="E10" s="228">
        <v>28</v>
      </c>
      <c r="F10" s="228">
        <v>5</v>
      </c>
      <c r="G10" s="228">
        <f t="shared" si="1"/>
        <v>33</v>
      </c>
      <c r="H10" s="228">
        <f t="shared" si="2"/>
        <v>599</v>
      </c>
      <c r="I10" s="228">
        <f t="shared" si="2"/>
        <v>58</v>
      </c>
      <c r="J10" s="229">
        <f t="shared" si="3"/>
        <v>657</v>
      </c>
    </row>
    <row r="11" spans="1:10" s="16" customFormat="1" ht="16.5">
      <c r="A11" s="207" t="s">
        <v>54</v>
      </c>
      <c r="B11" s="226">
        <v>648</v>
      </c>
      <c r="C11" s="226">
        <v>63</v>
      </c>
      <c r="D11" s="226">
        <f t="shared" si="0"/>
        <v>711</v>
      </c>
      <c r="E11" s="226">
        <v>33</v>
      </c>
      <c r="F11" s="226">
        <v>3</v>
      </c>
      <c r="G11" s="226">
        <f t="shared" si="1"/>
        <v>36</v>
      </c>
      <c r="H11" s="226">
        <f t="shared" si="2"/>
        <v>681</v>
      </c>
      <c r="I11" s="226">
        <f t="shared" si="2"/>
        <v>66</v>
      </c>
      <c r="J11" s="227">
        <f t="shared" si="3"/>
        <v>747</v>
      </c>
    </row>
    <row r="12" spans="1:10" s="16" customFormat="1" ht="16.5">
      <c r="A12" s="208" t="s">
        <v>56</v>
      </c>
      <c r="B12" s="228">
        <v>640</v>
      </c>
      <c r="C12" s="228">
        <v>71</v>
      </c>
      <c r="D12" s="228">
        <f t="shared" si="0"/>
        <v>711</v>
      </c>
      <c r="E12" s="228">
        <v>33</v>
      </c>
      <c r="F12" s="228">
        <v>5</v>
      </c>
      <c r="G12" s="228">
        <f t="shared" si="1"/>
        <v>38</v>
      </c>
      <c r="H12" s="228">
        <f t="shared" si="2"/>
        <v>673</v>
      </c>
      <c r="I12" s="228">
        <f t="shared" si="2"/>
        <v>76</v>
      </c>
      <c r="J12" s="229">
        <f t="shared" si="3"/>
        <v>749</v>
      </c>
    </row>
    <row r="13" spans="1:10" s="16" customFormat="1" ht="16.5">
      <c r="A13" s="207" t="s">
        <v>68</v>
      </c>
      <c r="B13" s="226">
        <v>647</v>
      </c>
      <c r="C13" s="226">
        <v>83</v>
      </c>
      <c r="D13" s="226">
        <f t="shared" si="0"/>
        <v>730</v>
      </c>
      <c r="E13" s="226">
        <v>38</v>
      </c>
      <c r="F13" s="226">
        <v>2</v>
      </c>
      <c r="G13" s="226">
        <f t="shared" si="1"/>
        <v>40</v>
      </c>
      <c r="H13" s="226">
        <f t="shared" si="2"/>
        <v>685</v>
      </c>
      <c r="I13" s="226">
        <f t="shared" si="2"/>
        <v>85</v>
      </c>
      <c r="J13" s="227">
        <f t="shared" si="3"/>
        <v>770</v>
      </c>
    </row>
    <row r="14" spans="1:10" s="16" customFormat="1" ht="16.5">
      <c r="A14" s="208" t="s">
        <v>69</v>
      </c>
      <c r="B14" s="228">
        <v>587</v>
      </c>
      <c r="C14" s="228">
        <v>57</v>
      </c>
      <c r="D14" s="228">
        <f t="shared" si="0"/>
        <v>644</v>
      </c>
      <c r="E14" s="228">
        <v>36</v>
      </c>
      <c r="F14" s="228">
        <v>2</v>
      </c>
      <c r="G14" s="228">
        <f t="shared" si="1"/>
        <v>38</v>
      </c>
      <c r="H14" s="228">
        <f t="shared" si="2"/>
        <v>623</v>
      </c>
      <c r="I14" s="228">
        <f t="shared" si="2"/>
        <v>59</v>
      </c>
      <c r="J14" s="229">
        <f t="shared" si="3"/>
        <v>682</v>
      </c>
    </row>
    <row r="15" spans="1:10" s="16" customFormat="1" ht="16.5">
      <c r="A15" s="207" t="s">
        <v>248</v>
      </c>
      <c r="B15" s="226">
        <v>542</v>
      </c>
      <c r="C15" s="226">
        <v>49</v>
      </c>
      <c r="D15" s="226">
        <f t="shared" si="0"/>
        <v>591</v>
      </c>
      <c r="E15" s="226">
        <v>38</v>
      </c>
      <c r="F15" s="226">
        <v>3</v>
      </c>
      <c r="G15" s="226">
        <f t="shared" si="1"/>
        <v>41</v>
      </c>
      <c r="H15" s="226">
        <f t="shared" si="2"/>
        <v>580</v>
      </c>
      <c r="I15" s="226">
        <f t="shared" si="2"/>
        <v>52</v>
      </c>
      <c r="J15" s="227">
        <f t="shared" si="3"/>
        <v>632</v>
      </c>
    </row>
    <row r="16" spans="1:10" s="16" customFormat="1" ht="16.5">
      <c r="A16" s="208" t="s">
        <v>244</v>
      </c>
      <c r="B16" s="228">
        <v>568</v>
      </c>
      <c r="C16" s="228">
        <v>42</v>
      </c>
      <c r="D16" s="228">
        <f t="shared" si="0"/>
        <v>610</v>
      </c>
      <c r="E16" s="228">
        <v>34</v>
      </c>
      <c r="F16" s="228">
        <v>2</v>
      </c>
      <c r="G16" s="228">
        <f t="shared" si="1"/>
        <v>36</v>
      </c>
      <c r="H16" s="228">
        <f t="shared" si="2"/>
        <v>602</v>
      </c>
      <c r="I16" s="228">
        <f t="shared" si="2"/>
        <v>44</v>
      </c>
      <c r="J16" s="229">
        <f t="shared" si="3"/>
        <v>646</v>
      </c>
    </row>
    <row r="17" spans="1:10" s="16" customFormat="1" ht="16.5">
      <c r="A17" s="207" t="s">
        <v>249</v>
      </c>
      <c r="B17" s="226">
        <v>587</v>
      </c>
      <c r="C17" s="226">
        <v>53</v>
      </c>
      <c r="D17" s="226">
        <f t="shared" si="0"/>
        <v>640</v>
      </c>
      <c r="E17" s="226">
        <v>33</v>
      </c>
      <c r="F17" s="226">
        <v>3</v>
      </c>
      <c r="G17" s="226">
        <f t="shared" si="1"/>
        <v>36</v>
      </c>
      <c r="H17" s="226">
        <f t="shared" si="2"/>
        <v>620</v>
      </c>
      <c r="I17" s="226">
        <f t="shared" si="2"/>
        <v>56</v>
      </c>
      <c r="J17" s="227">
        <f t="shared" si="3"/>
        <v>676</v>
      </c>
    </row>
    <row r="18" spans="1:10" s="16" customFormat="1" ht="23.25" customHeight="1">
      <c r="A18" s="644" t="s">
        <v>6</v>
      </c>
      <c r="B18" s="645">
        <f>SUM(B6:B17)</f>
        <v>7039</v>
      </c>
      <c r="C18" s="645">
        <f t="shared" ref="C18:J18" si="4">SUM(C6:C17)</f>
        <v>684</v>
      </c>
      <c r="D18" s="645">
        <f t="shared" si="4"/>
        <v>7723</v>
      </c>
      <c r="E18" s="645">
        <f t="shared" si="4"/>
        <v>373</v>
      </c>
      <c r="F18" s="645">
        <f t="shared" si="4"/>
        <v>30</v>
      </c>
      <c r="G18" s="645">
        <f t="shared" si="4"/>
        <v>403</v>
      </c>
      <c r="H18" s="645">
        <f t="shared" si="4"/>
        <v>7412</v>
      </c>
      <c r="I18" s="645">
        <f t="shared" si="4"/>
        <v>714</v>
      </c>
      <c r="J18" s="646">
        <f t="shared" si="4"/>
        <v>8126</v>
      </c>
    </row>
    <row r="19" spans="1:10" s="16" customFormat="1" ht="23.25" customHeight="1">
      <c r="A19" s="2156" t="s">
        <v>28</v>
      </c>
      <c r="B19" s="647">
        <f>+B18/D18</f>
        <v>0.9114333808105658</v>
      </c>
      <c r="C19" s="647">
        <f>+C18/D18</f>
        <v>8.8566619189434162E-2</v>
      </c>
      <c r="D19" s="647">
        <f>SUM(B19:C19)</f>
        <v>1</v>
      </c>
      <c r="E19" s="647">
        <f>+E18/G17</f>
        <v>10.361111111111111</v>
      </c>
      <c r="F19" s="647">
        <f>+F18/G18</f>
        <v>7.4441687344913146E-2</v>
      </c>
      <c r="G19" s="647">
        <f>SUM(E19:F19)</f>
        <v>10.435552798456024</v>
      </c>
      <c r="H19" s="647">
        <f>+H18/J18</f>
        <v>0.91213389121338917</v>
      </c>
      <c r="I19" s="647">
        <f>+I18/J18</f>
        <v>8.7866108786610872E-2</v>
      </c>
      <c r="J19" s="648">
        <f>SUM(H19:I19)</f>
        <v>1</v>
      </c>
    </row>
    <row r="20" spans="1:10" s="16" customFormat="1" ht="23.25" customHeight="1" thickBot="1">
      <c r="A20" s="2157"/>
      <c r="B20" s="2158">
        <f>+D18/J18</f>
        <v>0.95040610386413982</v>
      </c>
      <c r="C20" s="2159"/>
      <c r="D20" s="2160"/>
      <c r="E20" s="2158">
        <f>+G18/J18</f>
        <v>4.9593896135860203E-2</v>
      </c>
      <c r="F20" s="2159"/>
      <c r="G20" s="2160"/>
      <c r="H20" s="2158">
        <f>SUM(B20:G20)</f>
        <v>1</v>
      </c>
      <c r="I20" s="2159"/>
      <c r="J20" s="2161"/>
    </row>
    <row r="23" spans="1:10">
      <c r="D23" s="1008">
        <f>AVERAGE(D6:D17)</f>
        <v>643.58333333333337</v>
      </c>
      <c r="G23" s="1008">
        <f>AVERAGE(G6:G17)</f>
        <v>33.583333333333336</v>
      </c>
      <c r="J23" s="1008">
        <f>AVERAGE(J6:J17)</f>
        <v>677.16666666666663</v>
      </c>
    </row>
  </sheetData>
  <mergeCells count="9">
    <mergeCell ref="A19:A20"/>
    <mergeCell ref="B20:D20"/>
    <mergeCell ref="E20:G20"/>
    <mergeCell ref="H20:J20"/>
    <mergeCell ref="A2:J2"/>
    <mergeCell ref="A4:A5"/>
    <mergeCell ref="B4:D4"/>
    <mergeCell ref="E4:G4"/>
    <mergeCell ref="H4:J4"/>
  </mergeCells>
  <pageMargins left="0.7" right="0.7" top="0.75" bottom="0.75" header="0.3" footer="0.3"/>
  <pageSetup orientation="portrait" horizontalDpi="4294967293" verticalDpi="4294967293" r:id="rId1"/>
  <ignoredErrors>
    <ignoredError sqref="B18:J18 B20:J20 C19:J19" 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1008"/>
  <sheetViews>
    <sheetView showGridLines="0" topLeftCell="A52" workbookViewId="0">
      <selection activeCell="C61" sqref="C61"/>
    </sheetView>
  </sheetViews>
  <sheetFormatPr baseColWidth="10" defaultRowHeight="11.25"/>
  <cols>
    <col min="1" max="1" width="31.5703125" style="29" customWidth="1"/>
    <col min="2" max="7" width="15" style="29" customWidth="1"/>
    <col min="8" max="16384" width="11.42578125" style="29"/>
  </cols>
  <sheetData>
    <row r="1" spans="1:26">
      <c r="A1" s="1026"/>
      <c r="B1" s="1026"/>
      <c r="C1" s="1026"/>
      <c r="D1" s="1026"/>
      <c r="E1" s="1026"/>
      <c r="F1" s="1026"/>
      <c r="G1" s="1026"/>
      <c r="H1" s="1026"/>
      <c r="I1" s="1026"/>
      <c r="J1" s="1026"/>
      <c r="K1" s="1026"/>
      <c r="L1" s="1026"/>
      <c r="M1" s="1026"/>
      <c r="N1" s="1026"/>
      <c r="O1" s="1026"/>
      <c r="P1" s="1026"/>
      <c r="Q1" s="1026"/>
      <c r="R1" s="1026"/>
      <c r="S1" s="1026"/>
      <c r="T1" s="1026"/>
      <c r="U1" s="1026"/>
      <c r="V1" s="1026"/>
      <c r="W1" s="1026"/>
      <c r="X1" s="1026"/>
      <c r="Y1" s="1026"/>
      <c r="Z1" s="1026"/>
    </row>
    <row r="2" spans="1:26" ht="15" customHeight="1">
      <c r="A2" s="2166" t="s">
        <v>710</v>
      </c>
      <c r="B2" s="2166"/>
      <c r="C2" s="2166"/>
      <c r="D2" s="2166"/>
      <c r="E2" s="2166"/>
      <c r="F2" s="2166"/>
      <c r="G2" s="1026"/>
      <c r="H2" s="1026"/>
      <c r="I2" s="1026"/>
      <c r="J2" s="1026"/>
      <c r="K2" s="1026"/>
      <c r="L2" s="1026"/>
      <c r="M2" s="1026"/>
      <c r="N2" s="1026"/>
      <c r="O2" s="1026"/>
      <c r="P2" s="1026"/>
      <c r="Q2" s="1026"/>
      <c r="R2" s="1026"/>
      <c r="S2" s="1026"/>
      <c r="T2" s="1026"/>
      <c r="U2" s="1026"/>
      <c r="V2" s="1026"/>
      <c r="W2" s="1026"/>
      <c r="X2" s="1026"/>
      <c r="Y2" s="1026"/>
      <c r="Z2" s="1026"/>
    </row>
    <row r="3" spans="1:26" ht="12" thickBot="1">
      <c r="A3" s="1027"/>
      <c r="B3" s="1027"/>
      <c r="C3" s="1027"/>
      <c r="D3" s="1027"/>
      <c r="E3" s="1027"/>
      <c r="F3" s="1042"/>
      <c r="G3" s="1042"/>
      <c r="H3" s="1026"/>
      <c r="I3" s="1026"/>
      <c r="J3" s="1026"/>
      <c r="K3" s="1026"/>
      <c r="L3" s="1026"/>
      <c r="M3" s="1026"/>
      <c r="N3" s="1026"/>
      <c r="O3" s="1026"/>
      <c r="P3" s="1026"/>
      <c r="Q3" s="1026"/>
      <c r="R3" s="1026"/>
      <c r="S3" s="1026"/>
      <c r="T3" s="1026"/>
      <c r="U3" s="1026"/>
      <c r="V3" s="1026"/>
      <c r="W3" s="1026"/>
      <c r="X3" s="1026"/>
      <c r="Y3" s="1026"/>
      <c r="Z3" s="1026"/>
    </row>
    <row r="4" spans="1:26" ht="39" customHeight="1">
      <c r="A4" s="1028" t="s">
        <v>139</v>
      </c>
      <c r="B4" s="1029" t="s">
        <v>931</v>
      </c>
      <c r="C4" s="1029" t="s">
        <v>934</v>
      </c>
      <c r="D4" s="1029" t="s">
        <v>932</v>
      </c>
      <c r="E4" s="1030" t="s">
        <v>933</v>
      </c>
      <c r="F4" s="1687"/>
      <c r="G4" s="1687"/>
      <c r="H4" s="1026"/>
      <c r="I4" s="1026"/>
      <c r="J4" s="1026"/>
      <c r="K4" s="1026"/>
      <c r="L4" s="1026"/>
      <c r="M4" s="1026"/>
      <c r="N4" s="1026"/>
      <c r="O4" s="1026"/>
      <c r="P4" s="1026"/>
      <c r="Q4" s="1026"/>
      <c r="R4" s="1026"/>
      <c r="S4" s="1026"/>
      <c r="T4" s="1026"/>
      <c r="U4" s="1026"/>
      <c r="V4" s="1026"/>
      <c r="W4" s="1026"/>
      <c r="X4" s="1026"/>
      <c r="Y4" s="1026"/>
      <c r="Z4" s="1026"/>
    </row>
    <row r="5" spans="1:26" ht="18.75" customHeight="1">
      <c r="A5" s="1031" t="s">
        <v>704</v>
      </c>
      <c r="B5" s="1032">
        <v>1769719</v>
      </c>
      <c r="C5" s="1032">
        <v>1484319</v>
      </c>
      <c r="D5" s="1032">
        <v>285400</v>
      </c>
      <c r="E5" s="1688">
        <v>0.161</v>
      </c>
      <c r="F5" s="1026"/>
      <c r="G5" s="1026"/>
      <c r="H5" s="1026"/>
      <c r="I5" s="1026"/>
      <c r="J5" s="1026"/>
      <c r="K5" s="1026"/>
      <c r="L5" s="1026"/>
      <c r="M5" s="1026"/>
      <c r="N5" s="1026"/>
      <c r="O5" s="1026"/>
      <c r="P5" s="1026"/>
      <c r="Q5" s="1026"/>
      <c r="R5" s="1026"/>
      <c r="S5" s="1026"/>
      <c r="T5" s="1026"/>
      <c r="U5" s="1026"/>
      <c r="V5" s="1026"/>
      <c r="W5" s="1026"/>
      <c r="X5" s="1026"/>
      <c r="Y5" s="1026"/>
      <c r="Z5" s="1026"/>
    </row>
    <row r="6" spans="1:26" ht="18.75" customHeight="1">
      <c r="A6" s="1034" t="s">
        <v>926</v>
      </c>
      <c r="B6" s="1035">
        <v>1094213</v>
      </c>
      <c r="C6" s="1035">
        <v>1075769</v>
      </c>
      <c r="D6" s="1035">
        <v>18444</v>
      </c>
      <c r="E6" s="1689">
        <v>1.7000000000000001E-2</v>
      </c>
      <c r="F6" s="1026"/>
      <c r="G6" s="1026"/>
      <c r="H6" s="1026"/>
      <c r="I6" s="1026"/>
      <c r="J6" s="1026"/>
      <c r="K6" s="1026"/>
      <c r="L6" s="1026"/>
      <c r="M6" s="1026"/>
      <c r="N6" s="1026"/>
      <c r="O6" s="1026"/>
      <c r="P6" s="1026"/>
      <c r="Q6" s="1026"/>
      <c r="R6" s="1026"/>
      <c r="S6" s="1026"/>
      <c r="T6" s="1026"/>
      <c r="U6" s="1026"/>
      <c r="V6" s="1026"/>
      <c r="W6" s="1026"/>
      <c r="X6" s="1026"/>
      <c r="Y6" s="1026"/>
      <c r="Z6" s="1026"/>
    </row>
    <row r="7" spans="1:26" ht="25.5" customHeight="1">
      <c r="A7" s="1034" t="s">
        <v>927</v>
      </c>
      <c r="B7" s="1035">
        <v>279820</v>
      </c>
      <c r="C7" s="1035">
        <v>211652</v>
      </c>
      <c r="D7" s="1035">
        <v>68168</v>
      </c>
      <c r="E7" s="1689">
        <v>0.24399999999999999</v>
      </c>
      <c r="F7" s="1026"/>
      <c r="G7" s="1026"/>
      <c r="H7" s="1026"/>
      <c r="I7" s="1026"/>
      <c r="J7" s="1026"/>
      <c r="K7" s="1026"/>
      <c r="L7" s="1026"/>
      <c r="M7" s="1026"/>
      <c r="N7" s="1026"/>
      <c r="O7" s="1026"/>
      <c r="P7" s="1026"/>
      <c r="Q7" s="1026"/>
      <c r="R7" s="1026"/>
      <c r="S7" s="1026"/>
      <c r="T7" s="1026"/>
      <c r="U7" s="1026"/>
      <c r="V7" s="1026"/>
      <c r="W7" s="1026"/>
      <c r="X7" s="1026"/>
      <c r="Y7" s="1026"/>
      <c r="Z7" s="1026"/>
    </row>
    <row r="8" spans="1:26" ht="18.75" customHeight="1">
      <c r="A8" s="1034" t="s">
        <v>928</v>
      </c>
      <c r="B8" s="1035">
        <v>267056</v>
      </c>
      <c r="C8" s="1035">
        <v>66335</v>
      </c>
      <c r="D8" s="1035">
        <v>200721</v>
      </c>
      <c r="E8" s="1689">
        <v>0.752</v>
      </c>
      <c r="F8" s="1026"/>
      <c r="G8" s="1026"/>
      <c r="H8" s="1026"/>
      <c r="I8" s="1026"/>
      <c r="J8" s="1026"/>
      <c r="K8" s="1026"/>
      <c r="L8" s="1026"/>
      <c r="M8" s="1026"/>
      <c r="N8" s="1026"/>
      <c r="O8" s="1026"/>
      <c r="P8" s="1026"/>
      <c r="Q8" s="1026"/>
      <c r="R8" s="1026"/>
      <c r="S8" s="1026"/>
      <c r="T8" s="1026"/>
      <c r="U8" s="1026"/>
      <c r="V8" s="1026"/>
      <c r="W8" s="1026"/>
      <c r="X8" s="1026"/>
      <c r="Y8" s="1026"/>
      <c r="Z8" s="1026"/>
    </row>
    <row r="9" spans="1:26" ht="25.5" customHeight="1">
      <c r="A9" s="1034" t="s">
        <v>929</v>
      </c>
      <c r="B9" s="1035">
        <v>105467</v>
      </c>
      <c r="C9" s="1035">
        <v>105467</v>
      </c>
      <c r="D9" s="1035">
        <v>0</v>
      </c>
      <c r="E9" s="1689">
        <v>0</v>
      </c>
      <c r="F9" s="1026"/>
      <c r="G9" s="1026"/>
      <c r="H9" s="1026"/>
      <c r="I9" s="1026"/>
      <c r="J9" s="1026"/>
      <c r="K9" s="1026"/>
      <c r="L9" s="1026"/>
      <c r="M9" s="1026"/>
      <c r="N9" s="1026"/>
      <c r="O9" s="1026"/>
      <c r="P9" s="1026"/>
      <c r="Q9" s="1026"/>
      <c r="R9" s="1026"/>
      <c r="S9" s="1026"/>
      <c r="T9" s="1026"/>
      <c r="U9" s="1026"/>
      <c r="V9" s="1026"/>
      <c r="W9" s="1026"/>
      <c r="X9" s="1026"/>
      <c r="Y9" s="1026"/>
      <c r="Z9" s="1026"/>
    </row>
    <row r="10" spans="1:26" ht="25.5" customHeight="1">
      <c r="A10" s="1034" t="s">
        <v>930</v>
      </c>
      <c r="B10" s="1035">
        <v>23164</v>
      </c>
      <c r="C10" s="1035">
        <v>25096</v>
      </c>
      <c r="D10" s="1035">
        <v>-1932</v>
      </c>
      <c r="E10" s="1689">
        <v>-8.3000000000000004E-2</v>
      </c>
      <c r="F10" s="1026"/>
      <c r="G10" s="1026"/>
      <c r="H10" s="1026"/>
      <c r="I10" s="1026"/>
      <c r="J10" s="1026"/>
      <c r="K10" s="1026"/>
      <c r="L10" s="1026"/>
      <c r="M10" s="1026"/>
      <c r="N10" s="1026"/>
      <c r="O10" s="1026"/>
      <c r="P10" s="1026"/>
      <c r="Q10" s="1026"/>
      <c r="R10" s="1026"/>
      <c r="S10" s="1026"/>
      <c r="T10" s="1026"/>
      <c r="U10" s="1026"/>
      <c r="V10" s="1026"/>
      <c r="W10" s="1026"/>
      <c r="X10" s="1026"/>
      <c r="Y10" s="1026"/>
      <c r="Z10" s="1026"/>
    </row>
    <row r="11" spans="1:26" ht="18.75" customHeight="1">
      <c r="A11" s="1031" t="s">
        <v>705</v>
      </c>
      <c r="B11" s="1032">
        <v>10982</v>
      </c>
      <c r="C11" s="1032">
        <v>2116</v>
      </c>
      <c r="D11" s="1032">
        <v>8866</v>
      </c>
      <c r="E11" s="1688">
        <v>0.80700000000000005</v>
      </c>
      <c r="F11" s="1026"/>
      <c r="G11" s="1026"/>
      <c r="H11" s="1026"/>
      <c r="I11" s="1026"/>
      <c r="J11" s="1026"/>
      <c r="K11" s="1026"/>
      <c r="L11" s="1026"/>
      <c r="M11" s="1026"/>
      <c r="N11" s="1026"/>
      <c r="O11" s="1026"/>
      <c r="P11" s="1026"/>
      <c r="Q11" s="1026"/>
      <c r="R11" s="1026"/>
      <c r="S11" s="1026"/>
      <c r="T11" s="1026"/>
      <c r="U11" s="1026"/>
      <c r="V11" s="1026"/>
      <c r="W11" s="1026"/>
      <c r="X11" s="1026"/>
      <c r="Y11" s="1026"/>
      <c r="Z11" s="1026"/>
    </row>
    <row r="12" spans="1:26" ht="21.75" customHeight="1" thickBot="1">
      <c r="A12" s="1039" t="s">
        <v>706</v>
      </c>
      <c r="B12" s="1040">
        <v>1780702</v>
      </c>
      <c r="C12" s="1040">
        <v>1486435</v>
      </c>
      <c r="D12" s="1040">
        <v>294267</v>
      </c>
      <c r="E12" s="1690">
        <v>0.16500000000000001</v>
      </c>
      <c r="F12" s="1026"/>
      <c r="G12" s="1026"/>
      <c r="H12" s="1026"/>
      <c r="I12" s="1026"/>
      <c r="J12" s="1026"/>
      <c r="K12" s="1026"/>
      <c r="L12" s="1026"/>
      <c r="M12" s="1026"/>
      <c r="N12" s="1026"/>
      <c r="O12" s="1026"/>
      <c r="P12" s="1026"/>
      <c r="Q12" s="1026"/>
      <c r="R12" s="1026"/>
      <c r="S12" s="1026"/>
      <c r="T12" s="1026"/>
      <c r="U12" s="1026"/>
      <c r="V12" s="1026"/>
      <c r="W12" s="1026"/>
      <c r="X12" s="1026"/>
      <c r="Y12" s="1026"/>
      <c r="Z12" s="1026"/>
    </row>
    <row r="13" spans="1:26">
      <c r="A13" s="1026"/>
      <c r="B13" s="1026"/>
      <c r="C13" s="1026"/>
      <c r="D13" s="1026"/>
      <c r="E13" s="1026"/>
      <c r="F13" s="1026"/>
      <c r="G13" s="1026"/>
      <c r="H13" s="1026"/>
      <c r="I13" s="1026"/>
      <c r="J13" s="1026"/>
      <c r="K13" s="1026"/>
      <c r="L13" s="1026"/>
      <c r="M13" s="1026"/>
      <c r="N13" s="1026"/>
      <c r="O13" s="1026"/>
      <c r="P13" s="1026"/>
      <c r="Q13" s="1026"/>
      <c r="R13" s="1026"/>
      <c r="S13" s="1026"/>
      <c r="T13" s="1026"/>
      <c r="U13" s="1026"/>
      <c r="V13" s="1026"/>
      <c r="W13" s="1026"/>
      <c r="X13" s="1026"/>
      <c r="Y13" s="1026"/>
      <c r="Z13" s="1026"/>
    </row>
    <row r="14" spans="1:26">
      <c r="A14" s="1026"/>
      <c r="B14" s="1026"/>
      <c r="C14" s="1026"/>
      <c r="D14" s="1026"/>
      <c r="E14" s="1026"/>
      <c r="F14" s="1026"/>
      <c r="G14" s="1026"/>
      <c r="H14" s="1026"/>
      <c r="I14" s="1026"/>
      <c r="J14" s="1026"/>
      <c r="K14" s="1026"/>
      <c r="L14" s="1026"/>
      <c r="M14" s="1026"/>
      <c r="N14" s="1026"/>
      <c r="O14" s="1026"/>
      <c r="P14" s="1026"/>
      <c r="Q14" s="1026"/>
      <c r="R14" s="1026"/>
      <c r="S14" s="1026"/>
      <c r="T14" s="1026"/>
      <c r="U14" s="1026"/>
      <c r="V14" s="1026"/>
      <c r="W14" s="1026"/>
      <c r="X14" s="1026"/>
      <c r="Y14" s="1026"/>
      <c r="Z14" s="1026"/>
    </row>
    <row r="15" spans="1:26" ht="15" customHeight="1">
      <c r="A15" s="2166" t="s">
        <v>935</v>
      </c>
      <c r="B15" s="2166"/>
      <c r="C15" s="2166"/>
      <c r="D15" s="2166"/>
      <c r="E15" s="2166"/>
      <c r="F15" s="2166"/>
      <c r="G15" s="1026"/>
      <c r="H15" s="1026"/>
      <c r="I15" s="1026"/>
      <c r="J15" s="1026"/>
      <c r="K15" s="1026"/>
      <c r="L15" s="1026"/>
      <c r="M15" s="1026"/>
      <c r="N15" s="1026"/>
      <c r="O15" s="1026"/>
      <c r="P15" s="1026"/>
      <c r="Q15" s="1026"/>
      <c r="R15" s="1026"/>
      <c r="S15" s="1026"/>
      <c r="T15" s="1026"/>
      <c r="U15" s="1026"/>
      <c r="V15" s="1026"/>
      <c r="W15" s="1026"/>
      <c r="X15" s="1026"/>
      <c r="Y15" s="1026"/>
      <c r="Z15" s="1026"/>
    </row>
    <row r="16" spans="1:26" ht="12" thickBot="1">
      <c r="A16" s="1027"/>
      <c r="B16" s="1027"/>
      <c r="C16" s="1027"/>
      <c r="D16" s="1027"/>
      <c r="E16" s="1027"/>
      <c r="F16" s="1027"/>
      <c r="G16" s="1027"/>
      <c r="H16" s="1026"/>
      <c r="I16" s="1026"/>
      <c r="J16" s="1026"/>
      <c r="K16" s="1026"/>
      <c r="L16" s="1026"/>
      <c r="M16" s="1026"/>
      <c r="N16" s="1026"/>
      <c r="O16" s="1026"/>
      <c r="P16" s="1026"/>
      <c r="Q16" s="1026"/>
      <c r="R16" s="1026"/>
      <c r="S16" s="1026"/>
      <c r="T16" s="1026"/>
      <c r="U16" s="1026"/>
      <c r="V16" s="1026"/>
      <c r="W16" s="1026"/>
      <c r="X16" s="1026"/>
      <c r="Y16" s="1026"/>
      <c r="Z16" s="1026"/>
    </row>
    <row r="17" spans="1:26" ht="33.75" customHeight="1">
      <c r="A17" s="1028" t="s">
        <v>139</v>
      </c>
      <c r="B17" s="1029" t="s">
        <v>698</v>
      </c>
      <c r="C17" s="1029" t="s">
        <v>699</v>
      </c>
      <c r="D17" s="1029" t="s">
        <v>700</v>
      </c>
      <c r="E17" s="1029" t="s">
        <v>701</v>
      </c>
      <c r="F17" s="1029" t="s">
        <v>702</v>
      </c>
      <c r="G17" s="1030" t="s">
        <v>703</v>
      </c>
      <c r="H17" s="1026"/>
      <c r="I17" s="1026"/>
      <c r="J17" s="1026"/>
      <c r="K17" s="1026"/>
      <c r="L17" s="1026"/>
      <c r="M17" s="1026"/>
      <c r="N17" s="1026"/>
      <c r="O17" s="1026"/>
      <c r="P17" s="1026"/>
      <c r="Q17" s="1026"/>
      <c r="R17" s="1026"/>
      <c r="S17" s="1026"/>
      <c r="T17" s="1026"/>
      <c r="U17" s="1026"/>
      <c r="V17" s="1026"/>
      <c r="W17" s="1026"/>
      <c r="X17" s="1026"/>
      <c r="Y17" s="1026"/>
      <c r="Z17" s="1026"/>
    </row>
    <row r="18" spans="1:26" ht="18.75" customHeight="1">
      <c r="A18" s="1031" t="s">
        <v>704</v>
      </c>
      <c r="B18" s="1032">
        <v>1484319</v>
      </c>
      <c r="C18" s="1032">
        <v>1216496</v>
      </c>
      <c r="D18" s="1032">
        <v>267823</v>
      </c>
      <c r="E18" s="1032">
        <v>1184012</v>
      </c>
      <c r="F18" s="1032">
        <v>1183760</v>
      </c>
      <c r="G18" s="1033">
        <v>0.82</v>
      </c>
      <c r="H18" s="1026"/>
      <c r="I18" s="1026"/>
      <c r="J18" s="1026"/>
      <c r="K18" s="1026"/>
      <c r="L18" s="1026"/>
      <c r="M18" s="1026"/>
      <c r="N18" s="1026"/>
      <c r="O18" s="1026"/>
      <c r="P18" s="1026"/>
      <c r="Q18" s="1026"/>
      <c r="R18" s="1026"/>
      <c r="S18" s="1026"/>
      <c r="T18" s="1026"/>
      <c r="U18" s="1026"/>
      <c r="V18" s="1026"/>
      <c r="W18" s="1026"/>
      <c r="X18" s="1026"/>
      <c r="Y18" s="1026"/>
      <c r="Z18" s="1026"/>
    </row>
    <row r="19" spans="1:26" ht="18.75" customHeight="1">
      <c r="A19" s="1034" t="s">
        <v>926</v>
      </c>
      <c r="B19" s="1035">
        <v>1074134</v>
      </c>
      <c r="C19" s="1035">
        <v>880380</v>
      </c>
      <c r="D19" s="1035">
        <v>193754</v>
      </c>
      <c r="E19" s="1035">
        <v>880050</v>
      </c>
      <c r="F19" s="1035">
        <v>879913</v>
      </c>
      <c r="G19" s="1036">
        <v>0.82</v>
      </c>
      <c r="H19" s="1026"/>
      <c r="I19" s="1026"/>
      <c r="J19" s="1026"/>
      <c r="K19" s="1026"/>
      <c r="L19" s="1026"/>
      <c r="M19" s="1026"/>
      <c r="N19" s="1026"/>
      <c r="O19" s="1026"/>
      <c r="P19" s="1026"/>
      <c r="Q19" s="1026"/>
      <c r="R19" s="1026"/>
      <c r="S19" s="1026"/>
      <c r="T19" s="1026"/>
      <c r="U19" s="1026"/>
      <c r="V19" s="1026"/>
      <c r="W19" s="1026"/>
      <c r="X19" s="1026"/>
      <c r="Y19" s="1026"/>
      <c r="Z19" s="1026"/>
    </row>
    <row r="20" spans="1:26" ht="25.5" customHeight="1">
      <c r="A20" s="1034" t="s">
        <v>927</v>
      </c>
      <c r="B20" s="1035">
        <v>197434</v>
      </c>
      <c r="C20" s="1035">
        <v>187791</v>
      </c>
      <c r="D20" s="1035">
        <v>9642</v>
      </c>
      <c r="E20" s="1035">
        <v>177464</v>
      </c>
      <c r="F20" s="1035">
        <v>177464</v>
      </c>
      <c r="G20" s="1036">
        <v>0.95099999999999996</v>
      </c>
      <c r="H20" s="1026"/>
      <c r="I20" s="1026"/>
      <c r="J20" s="1026"/>
      <c r="K20" s="1026"/>
      <c r="L20" s="1026"/>
      <c r="M20" s="1026"/>
      <c r="N20" s="1026"/>
      <c r="O20" s="1026"/>
      <c r="P20" s="1026"/>
      <c r="Q20" s="1026"/>
      <c r="R20" s="1026"/>
      <c r="S20" s="1026"/>
      <c r="T20" s="1026"/>
      <c r="U20" s="1026"/>
      <c r="V20" s="1026"/>
      <c r="W20" s="1026"/>
      <c r="X20" s="1026"/>
      <c r="Y20" s="1026"/>
      <c r="Z20" s="1026"/>
    </row>
    <row r="21" spans="1:26" ht="18.75" customHeight="1">
      <c r="A21" s="1034" t="s">
        <v>928</v>
      </c>
      <c r="B21" s="1035">
        <v>93576</v>
      </c>
      <c r="C21" s="1035">
        <v>65048</v>
      </c>
      <c r="D21" s="1035">
        <v>28527</v>
      </c>
      <c r="E21" s="1035">
        <v>46715</v>
      </c>
      <c r="F21" s="1035">
        <v>46715</v>
      </c>
      <c r="G21" s="1036">
        <v>0.69499999999999995</v>
      </c>
      <c r="H21" s="1026"/>
      <c r="I21" s="1026"/>
      <c r="J21" s="1026"/>
      <c r="K21" s="1026"/>
      <c r="L21" s="1026"/>
      <c r="M21" s="1026"/>
      <c r="N21" s="1026"/>
      <c r="O21" s="1026"/>
      <c r="P21" s="1026"/>
      <c r="Q21" s="1026"/>
      <c r="R21" s="1026"/>
      <c r="S21" s="1026"/>
      <c r="T21" s="1026"/>
      <c r="U21" s="1026"/>
      <c r="V21" s="1026"/>
      <c r="W21" s="1026"/>
      <c r="X21" s="1026"/>
      <c r="Y21" s="1026"/>
      <c r="Z21" s="1026"/>
    </row>
    <row r="22" spans="1:26" ht="25.5" customHeight="1">
      <c r="A22" s="1034" t="s">
        <v>929</v>
      </c>
      <c r="B22" s="1035">
        <v>105467</v>
      </c>
      <c r="C22" s="1035">
        <v>70068</v>
      </c>
      <c r="D22" s="1035">
        <v>35400</v>
      </c>
      <c r="E22" s="1035">
        <v>66643</v>
      </c>
      <c r="F22" s="1035">
        <v>66529</v>
      </c>
      <c r="G22" s="1036">
        <v>0.66400000000000003</v>
      </c>
      <c r="H22" s="1026"/>
      <c r="I22" s="1026"/>
      <c r="J22" s="1026"/>
      <c r="K22" s="1026"/>
      <c r="L22" s="1026"/>
      <c r="M22" s="1026"/>
      <c r="N22" s="1026"/>
      <c r="O22" s="1026"/>
      <c r="P22" s="1026"/>
      <c r="Q22" s="1026"/>
      <c r="R22" s="1026"/>
      <c r="S22" s="1026"/>
      <c r="T22" s="1026"/>
      <c r="U22" s="1026"/>
      <c r="V22" s="1026"/>
      <c r="W22" s="1026"/>
      <c r="X22" s="1026"/>
      <c r="Y22" s="1026"/>
      <c r="Z22" s="1026"/>
    </row>
    <row r="23" spans="1:26" ht="25.5" customHeight="1">
      <c r="A23" s="1034" t="s">
        <v>930</v>
      </c>
      <c r="B23" s="1035">
        <v>13708</v>
      </c>
      <c r="C23" s="1035">
        <v>13209</v>
      </c>
      <c r="D23" s="1037">
        <v>499</v>
      </c>
      <c r="E23" s="1035">
        <v>13139</v>
      </c>
      <c r="F23" s="1035">
        <v>13139</v>
      </c>
      <c r="G23" s="1036">
        <v>0.96399999999999997</v>
      </c>
      <c r="H23" s="1026"/>
      <c r="I23" s="1026"/>
      <c r="J23" s="1026"/>
      <c r="K23" s="1026"/>
      <c r="L23" s="1026"/>
      <c r="M23" s="1026"/>
      <c r="N23" s="1026"/>
      <c r="O23" s="1026"/>
      <c r="P23" s="1026"/>
      <c r="Q23" s="1026"/>
      <c r="R23" s="1026"/>
      <c r="S23" s="1026"/>
      <c r="T23" s="1026"/>
      <c r="U23" s="1026"/>
      <c r="V23" s="1026"/>
      <c r="W23" s="1026"/>
      <c r="X23" s="1026"/>
      <c r="Y23" s="1026"/>
      <c r="Z23" s="1026"/>
    </row>
    <row r="24" spans="1:26" ht="18.75" customHeight="1">
      <c r="A24" s="1031" t="s">
        <v>705</v>
      </c>
      <c r="B24" s="1032">
        <v>2116</v>
      </c>
      <c r="C24" s="1032">
        <v>2044</v>
      </c>
      <c r="D24" s="1038">
        <v>72</v>
      </c>
      <c r="E24" s="1032">
        <v>1434</v>
      </c>
      <c r="F24" s="1032">
        <v>1434</v>
      </c>
      <c r="G24" s="1033">
        <v>0.96599999999999997</v>
      </c>
      <c r="H24" s="1026"/>
      <c r="I24" s="1026"/>
      <c r="J24" s="1026"/>
      <c r="K24" s="1026"/>
      <c r="L24" s="1026"/>
      <c r="M24" s="1026"/>
      <c r="N24" s="1026"/>
      <c r="O24" s="1026"/>
      <c r="P24" s="1026"/>
      <c r="Q24" s="1026"/>
      <c r="R24" s="1026"/>
      <c r="S24" s="1026"/>
      <c r="T24" s="1026"/>
      <c r="U24" s="1026"/>
      <c r="V24" s="1026"/>
      <c r="W24" s="1026"/>
      <c r="X24" s="1026"/>
      <c r="Y24" s="1026"/>
      <c r="Z24" s="1026"/>
    </row>
    <row r="25" spans="1:26" ht="21.75" customHeight="1" thickBot="1">
      <c r="A25" s="1039" t="s">
        <v>706</v>
      </c>
      <c r="B25" s="1040">
        <v>1486435</v>
      </c>
      <c r="C25" s="1040">
        <v>1218540</v>
      </c>
      <c r="D25" s="1040">
        <v>267895</v>
      </c>
      <c r="E25" s="1040">
        <v>1185446</v>
      </c>
      <c r="F25" s="1040">
        <v>1185194</v>
      </c>
      <c r="G25" s="1041">
        <v>0.82</v>
      </c>
      <c r="H25" s="1026"/>
      <c r="I25" s="1692">
        <f>+C25/G25</f>
        <v>1486024.3902439026</v>
      </c>
      <c r="J25" s="1026"/>
      <c r="K25" s="1026"/>
      <c r="L25" s="1026"/>
      <c r="M25" s="1026"/>
      <c r="N25" s="1026"/>
      <c r="O25" s="1026"/>
      <c r="P25" s="1026"/>
      <c r="Q25" s="1026"/>
      <c r="R25" s="1026"/>
      <c r="S25" s="1026"/>
      <c r="T25" s="1026"/>
      <c r="U25" s="1026"/>
      <c r="V25" s="1026"/>
      <c r="W25" s="1026"/>
      <c r="X25" s="1026"/>
      <c r="Y25" s="1026"/>
      <c r="Z25" s="1026"/>
    </row>
    <row r="26" spans="1:26">
      <c r="A26" s="1026"/>
      <c r="B26" s="1026"/>
      <c r="C26" s="1026"/>
      <c r="D26" s="1026"/>
      <c r="E26" s="1026"/>
      <c r="F26" s="1026"/>
      <c r="G26" s="1026"/>
      <c r="H26" s="1026"/>
      <c r="I26" s="1026"/>
      <c r="J26" s="1026"/>
      <c r="K26" s="1026"/>
      <c r="L26" s="1026"/>
      <c r="M26" s="1026"/>
      <c r="N26" s="1026"/>
      <c r="O26" s="1026"/>
      <c r="P26" s="1026"/>
      <c r="Q26" s="1026"/>
      <c r="R26" s="1026"/>
      <c r="S26" s="1026"/>
      <c r="T26" s="1026"/>
      <c r="U26" s="1026"/>
      <c r="V26" s="1026"/>
      <c r="W26" s="1026"/>
      <c r="X26" s="1026"/>
      <c r="Y26" s="1026"/>
      <c r="Z26" s="1026"/>
    </row>
    <row r="27" spans="1:26">
      <c r="A27" s="1026"/>
      <c r="B27" s="1026"/>
      <c r="C27" s="1026"/>
      <c r="D27" s="1026"/>
      <c r="E27" s="1026"/>
      <c r="F27" s="1691"/>
      <c r="G27" s="1691"/>
      <c r="H27" s="1026"/>
      <c r="I27" s="1026"/>
      <c r="J27" s="1026"/>
      <c r="K27" s="1026"/>
      <c r="L27" s="1026"/>
      <c r="M27" s="1026"/>
      <c r="N27" s="1026"/>
      <c r="O27" s="1026"/>
      <c r="P27" s="1026"/>
      <c r="Q27" s="1026"/>
      <c r="R27" s="1026"/>
      <c r="S27" s="1026"/>
      <c r="T27" s="1026"/>
      <c r="U27" s="1026"/>
      <c r="V27" s="1026"/>
      <c r="W27" s="1026"/>
      <c r="X27" s="1026"/>
      <c r="Y27" s="1026"/>
      <c r="Z27" s="1026"/>
    </row>
    <row r="28" spans="1:26" ht="15.75" customHeight="1">
      <c r="A28" s="2166" t="s">
        <v>936</v>
      </c>
      <c r="B28" s="2166"/>
      <c r="C28" s="2166"/>
      <c r="D28" s="2166"/>
      <c r="E28" s="2166"/>
      <c r="F28" s="1026"/>
      <c r="G28" s="1026"/>
      <c r="H28" s="1026"/>
      <c r="I28" s="1026"/>
      <c r="J28" s="1026"/>
      <c r="K28" s="1026"/>
      <c r="L28" s="1026"/>
      <c r="M28" s="1026"/>
      <c r="N28" s="1026"/>
      <c r="O28" s="1026"/>
      <c r="P28" s="1026"/>
      <c r="Q28" s="1026"/>
      <c r="R28" s="1026"/>
      <c r="S28" s="1026"/>
      <c r="T28" s="1026"/>
      <c r="U28" s="1026"/>
      <c r="V28" s="1026"/>
      <c r="W28" s="1026"/>
      <c r="X28" s="1026"/>
      <c r="Y28" s="1026"/>
      <c r="Z28" s="1026"/>
    </row>
    <row r="29" spans="1:26" ht="12" thickBot="1">
      <c r="A29" s="1042"/>
      <c r="B29" s="1042"/>
      <c r="C29" s="1042"/>
      <c r="D29" s="1042"/>
      <c r="E29" s="1042"/>
      <c r="F29" s="1042"/>
      <c r="G29" s="1026"/>
      <c r="H29" s="1026"/>
      <c r="I29" s="1026"/>
      <c r="J29" s="1026"/>
      <c r="K29" s="1026"/>
      <c r="L29" s="1026"/>
      <c r="M29" s="1026"/>
      <c r="N29" s="1026"/>
      <c r="O29" s="1026"/>
      <c r="P29" s="1026"/>
      <c r="Q29" s="1026"/>
      <c r="R29" s="1026"/>
      <c r="S29" s="1026"/>
      <c r="T29" s="1026"/>
      <c r="U29" s="1026"/>
      <c r="V29" s="1026"/>
      <c r="W29" s="1026"/>
      <c r="X29" s="1026"/>
      <c r="Y29" s="1026"/>
      <c r="Z29" s="1026"/>
    </row>
    <row r="30" spans="1:26" ht="26.25" customHeight="1">
      <c r="A30" s="1028" t="s">
        <v>139</v>
      </c>
      <c r="B30" s="1029" t="s">
        <v>938</v>
      </c>
      <c r="C30" s="1029" t="s">
        <v>707</v>
      </c>
      <c r="D30" s="1029" t="s">
        <v>708</v>
      </c>
      <c r="E30" s="1029" t="s">
        <v>937</v>
      </c>
      <c r="F30" s="1030" t="s">
        <v>709</v>
      </c>
      <c r="G30" s="1026"/>
      <c r="H30" s="1026"/>
      <c r="I30" s="1026"/>
      <c r="J30" s="1026"/>
      <c r="K30" s="1026"/>
      <c r="L30" s="1026"/>
      <c r="M30" s="1026"/>
      <c r="N30" s="1026"/>
      <c r="O30" s="1026"/>
      <c r="P30" s="1026"/>
      <c r="Q30" s="1026"/>
      <c r="R30" s="1026"/>
      <c r="S30" s="1026"/>
      <c r="T30" s="1026"/>
      <c r="U30" s="1026"/>
      <c r="V30" s="1026"/>
      <c r="W30" s="1026"/>
      <c r="X30" s="1026"/>
      <c r="Y30" s="1026"/>
      <c r="Z30" s="1026"/>
    </row>
    <row r="31" spans="1:26" ht="18.75" customHeight="1">
      <c r="A31" s="1031" t="s">
        <v>704</v>
      </c>
      <c r="B31" s="1032">
        <v>1484319</v>
      </c>
      <c r="C31" s="1032">
        <v>57071</v>
      </c>
      <c r="D31" s="1032">
        <v>57071</v>
      </c>
      <c r="E31" s="1032">
        <v>0</v>
      </c>
      <c r="F31" s="1032">
        <v>1484319</v>
      </c>
      <c r="G31" s="1026"/>
      <c r="H31" s="1026"/>
      <c r="I31" s="1026"/>
      <c r="J31" s="1026"/>
      <c r="K31" s="1026"/>
      <c r="L31" s="1026"/>
      <c r="M31" s="1026"/>
      <c r="N31" s="1026"/>
      <c r="O31" s="1026"/>
      <c r="P31" s="1026"/>
      <c r="Q31" s="1026"/>
      <c r="R31" s="1026"/>
      <c r="S31" s="1026"/>
      <c r="T31" s="1026"/>
      <c r="U31" s="1026"/>
      <c r="V31" s="1026"/>
      <c r="W31" s="1026"/>
      <c r="X31" s="1026"/>
      <c r="Y31" s="1026"/>
      <c r="Z31" s="1026"/>
    </row>
    <row r="32" spans="1:26" ht="18.75" customHeight="1">
      <c r="A32" s="1034" t="s">
        <v>926</v>
      </c>
      <c r="B32" s="1035">
        <v>1075769</v>
      </c>
      <c r="C32" s="1035">
        <v>6695</v>
      </c>
      <c r="D32" s="1035">
        <v>8330</v>
      </c>
      <c r="E32" s="1035">
        <v>-1635</v>
      </c>
      <c r="F32" s="1035">
        <v>1074134</v>
      </c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</row>
    <row r="33" spans="1:26" ht="26.25" customHeight="1">
      <c r="A33" s="1034" t="s">
        <v>927</v>
      </c>
      <c r="B33" s="1035">
        <v>211652</v>
      </c>
      <c r="C33" s="1035">
        <v>18117</v>
      </c>
      <c r="D33" s="1035">
        <v>32334</v>
      </c>
      <c r="E33" s="1035">
        <v>-14218</v>
      </c>
      <c r="F33" s="1035">
        <v>197434</v>
      </c>
      <c r="G33" s="1026"/>
      <c r="H33" s="1026"/>
      <c r="I33" s="1026"/>
      <c r="J33" s="1026"/>
      <c r="K33" s="1026"/>
      <c r="L33" s="1026"/>
      <c r="M33" s="1026"/>
      <c r="N33" s="1026"/>
      <c r="O33" s="1026"/>
      <c r="P33" s="1026"/>
      <c r="Q33" s="1026"/>
      <c r="R33" s="1026"/>
      <c r="S33" s="1026"/>
      <c r="T33" s="1026"/>
      <c r="U33" s="1026"/>
      <c r="V33" s="1026"/>
      <c r="W33" s="1026"/>
      <c r="X33" s="1026"/>
      <c r="Y33" s="1026"/>
      <c r="Z33" s="1026"/>
    </row>
    <row r="34" spans="1:26" ht="18.75" customHeight="1">
      <c r="A34" s="1034" t="s">
        <v>928</v>
      </c>
      <c r="B34" s="1035">
        <v>66335</v>
      </c>
      <c r="C34" s="1035">
        <v>28341</v>
      </c>
      <c r="D34" s="1035">
        <v>1100</v>
      </c>
      <c r="E34" s="1035">
        <v>27241</v>
      </c>
      <c r="F34" s="1035">
        <v>93576</v>
      </c>
      <c r="G34" s="1026"/>
      <c r="H34" s="1026"/>
      <c r="I34" s="1026"/>
      <c r="J34" s="1026"/>
      <c r="K34" s="1026"/>
      <c r="L34" s="1026"/>
      <c r="M34" s="1026"/>
      <c r="N34" s="1026"/>
      <c r="O34" s="1026"/>
      <c r="P34" s="1026"/>
      <c r="Q34" s="1026"/>
      <c r="R34" s="1026"/>
      <c r="S34" s="1026"/>
      <c r="T34" s="1026"/>
      <c r="U34" s="1026"/>
      <c r="V34" s="1026"/>
      <c r="W34" s="1026"/>
      <c r="X34" s="1026"/>
      <c r="Y34" s="1026"/>
      <c r="Z34" s="1026"/>
    </row>
    <row r="35" spans="1:26" ht="25.5" customHeight="1">
      <c r="A35" s="1034" t="s">
        <v>929</v>
      </c>
      <c r="B35" s="1035">
        <v>105467</v>
      </c>
      <c r="C35" s="1035">
        <v>2285</v>
      </c>
      <c r="D35" s="1035">
        <v>2285</v>
      </c>
      <c r="E35" s="1035">
        <v>0</v>
      </c>
      <c r="F35" s="1035">
        <v>105467</v>
      </c>
      <c r="G35" s="1026"/>
      <c r="H35" s="1026"/>
      <c r="I35" s="1026"/>
      <c r="J35" s="1026"/>
      <c r="K35" s="1026"/>
      <c r="L35" s="1026"/>
      <c r="M35" s="1026"/>
      <c r="N35" s="1026"/>
      <c r="O35" s="1026"/>
      <c r="P35" s="1026"/>
      <c r="Q35" s="1026"/>
      <c r="R35" s="1026"/>
      <c r="S35" s="1026"/>
      <c r="T35" s="1026"/>
      <c r="U35" s="1026"/>
      <c r="V35" s="1026"/>
      <c r="W35" s="1026"/>
      <c r="X35" s="1026"/>
      <c r="Y35" s="1026"/>
      <c r="Z35" s="1026"/>
    </row>
    <row r="36" spans="1:26" ht="25.5" customHeight="1">
      <c r="A36" s="1034" t="s">
        <v>930</v>
      </c>
      <c r="B36" s="1035">
        <v>25096</v>
      </c>
      <c r="C36" s="1035">
        <v>1635</v>
      </c>
      <c r="D36" s="1035">
        <v>13023</v>
      </c>
      <c r="E36" s="1035">
        <v>-11388</v>
      </c>
      <c r="F36" s="1035">
        <v>13708</v>
      </c>
      <c r="G36" s="1026"/>
      <c r="H36" s="1026"/>
      <c r="I36" s="1026"/>
      <c r="J36" s="1026"/>
      <c r="K36" s="1026"/>
      <c r="L36" s="1026"/>
      <c r="M36" s="1026"/>
      <c r="N36" s="1026"/>
      <c r="O36" s="1026"/>
      <c r="P36" s="1026"/>
      <c r="Q36" s="1026"/>
      <c r="R36" s="1026"/>
      <c r="S36" s="1026"/>
      <c r="T36" s="1026"/>
      <c r="U36" s="1026"/>
      <c r="V36" s="1026"/>
      <c r="W36" s="1026"/>
      <c r="X36" s="1026"/>
      <c r="Y36" s="1026"/>
      <c r="Z36" s="1026"/>
    </row>
    <row r="37" spans="1:26" ht="18.75" customHeight="1">
      <c r="A37" s="1031" t="s">
        <v>705</v>
      </c>
      <c r="B37" s="1032">
        <v>2116</v>
      </c>
      <c r="C37" s="1032">
        <v>0</v>
      </c>
      <c r="D37" s="1038">
        <v>0</v>
      </c>
      <c r="E37" s="1032">
        <v>0</v>
      </c>
      <c r="F37" s="1032">
        <v>2116</v>
      </c>
      <c r="G37" s="1026"/>
      <c r="H37" s="1026"/>
      <c r="I37" s="1026"/>
      <c r="J37" s="1026"/>
      <c r="K37" s="1026"/>
      <c r="L37" s="1026"/>
      <c r="M37" s="1026"/>
      <c r="N37" s="1026"/>
      <c r="O37" s="1026"/>
      <c r="P37" s="1026"/>
      <c r="Q37" s="1026"/>
      <c r="R37" s="1026"/>
      <c r="S37" s="1026"/>
      <c r="T37" s="1026"/>
      <c r="U37" s="1026"/>
      <c r="V37" s="1026"/>
      <c r="W37" s="1026"/>
      <c r="X37" s="1026"/>
      <c r="Y37" s="1026"/>
      <c r="Z37" s="1026"/>
    </row>
    <row r="38" spans="1:26" ht="21.75" customHeight="1" thickBot="1">
      <c r="A38" s="1039" t="s">
        <v>41</v>
      </c>
      <c r="B38" s="1040">
        <v>1486435</v>
      </c>
      <c r="C38" s="1040">
        <v>57071</v>
      </c>
      <c r="D38" s="1040">
        <v>57071</v>
      </c>
      <c r="E38" s="1040">
        <v>0</v>
      </c>
      <c r="F38" s="1040">
        <v>1486435</v>
      </c>
      <c r="G38" s="1026"/>
      <c r="H38" s="1026"/>
      <c r="I38" s="1026"/>
      <c r="J38" s="1026"/>
      <c r="K38" s="1026"/>
      <c r="L38" s="1026"/>
      <c r="M38" s="1026"/>
      <c r="N38" s="1026"/>
      <c r="O38" s="1026"/>
      <c r="P38" s="1026"/>
      <c r="Q38" s="1026"/>
      <c r="R38" s="1026"/>
      <c r="S38" s="1026"/>
      <c r="T38" s="1026"/>
      <c r="U38" s="1026"/>
      <c r="V38" s="1026"/>
      <c r="W38" s="1026"/>
      <c r="X38" s="1026"/>
      <c r="Y38" s="1026"/>
      <c r="Z38" s="1026"/>
    </row>
    <row r="39" spans="1:26">
      <c r="A39" s="1026"/>
      <c r="B39" s="1026"/>
      <c r="C39" s="1026"/>
      <c r="D39" s="1026"/>
      <c r="E39" s="1026"/>
      <c r="F39" s="1026"/>
      <c r="G39" s="1026"/>
      <c r="H39" s="1026"/>
      <c r="I39" s="1026"/>
      <c r="J39" s="1026"/>
      <c r="K39" s="1026"/>
      <c r="L39" s="1026"/>
      <c r="M39" s="1026"/>
      <c r="N39" s="1026"/>
      <c r="O39" s="1026"/>
      <c r="P39" s="1026"/>
      <c r="Q39" s="1026"/>
      <c r="R39" s="1026"/>
      <c r="S39" s="1026"/>
      <c r="T39" s="1026"/>
      <c r="U39" s="1026"/>
      <c r="V39" s="1026"/>
      <c r="W39" s="1026"/>
      <c r="X39" s="1026"/>
      <c r="Y39" s="1026"/>
      <c r="Z39" s="1026"/>
    </row>
    <row r="40" spans="1:26">
      <c r="A40" s="1026"/>
      <c r="B40" s="1026"/>
      <c r="C40" s="1026"/>
      <c r="D40" s="1026"/>
      <c r="E40" s="1026"/>
      <c r="F40" s="1026"/>
      <c r="G40" s="1026"/>
      <c r="H40" s="1026"/>
      <c r="I40" s="1026"/>
      <c r="J40" s="1026"/>
      <c r="K40" s="1026"/>
      <c r="L40" s="1026"/>
      <c r="M40" s="1026"/>
      <c r="N40" s="1026"/>
      <c r="O40" s="1026"/>
      <c r="P40" s="1026"/>
      <c r="Q40" s="1026"/>
      <c r="R40" s="1026"/>
      <c r="S40" s="1026"/>
      <c r="T40" s="1026"/>
      <c r="U40" s="1026"/>
      <c r="V40" s="1026"/>
      <c r="W40" s="1026"/>
      <c r="X40" s="1026"/>
      <c r="Y40" s="1026"/>
      <c r="Z40" s="1026"/>
    </row>
    <row r="41" spans="1:26" ht="15.75" customHeight="1">
      <c r="A41" s="2166" t="s">
        <v>939</v>
      </c>
      <c r="B41" s="2166"/>
      <c r="C41" s="2166"/>
      <c r="D41" s="2166"/>
      <c r="E41" s="2166"/>
      <c r="F41" s="1026"/>
      <c r="G41" s="1026"/>
      <c r="H41" s="1026"/>
      <c r="I41" s="1026"/>
      <c r="J41" s="1026"/>
      <c r="K41" s="1026"/>
      <c r="L41" s="1026"/>
      <c r="M41" s="1026"/>
      <c r="N41" s="1026"/>
      <c r="O41" s="1026"/>
      <c r="P41" s="1026"/>
      <c r="Q41" s="1026"/>
      <c r="R41" s="1026"/>
      <c r="S41" s="1026"/>
      <c r="T41" s="1026"/>
      <c r="U41" s="1026"/>
      <c r="V41" s="1026"/>
      <c r="W41" s="1026"/>
      <c r="X41" s="1026"/>
      <c r="Y41" s="1026"/>
      <c r="Z41" s="1026"/>
    </row>
    <row r="42" spans="1:26" ht="12" thickBot="1">
      <c r="A42" s="1042"/>
      <c r="B42" s="1042"/>
      <c r="C42" s="1042"/>
      <c r="D42" s="1042"/>
      <c r="E42" s="1042"/>
      <c r="F42" s="1042"/>
      <c r="G42" s="1026"/>
      <c r="H42" s="1026"/>
      <c r="I42" s="1026"/>
      <c r="J42" s="1026"/>
      <c r="K42" s="1026"/>
      <c r="L42" s="1026"/>
      <c r="M42" s="1026"/>
      <c r="N42" s="1026"/>
      <c r="O42" s="1026"/>
      <c r="P42" s="1026"/>
      <c r="Q42" s="1026"/>
      <c r="R42" s="1026"/>
      <c r="S42" s="1026"/>
      <c r="T42" s="1026"/>
      <c r="U42" s="1026"/>
      <c r="V42" s="1026"/>
      <c r="W42" s="1026"/>
      <c r="X42" s="1026"/>
      <c r="Y42" s="1026"/>
      <c r="Z42" s="1026"/>
    </row>
    <row r="43" spans="1:26" ht="26.25" customHeight="1">
      <c r="A43" s="1028" t="s">
        <v>139</v>
      </c>
      <c r="B43" s="1029" t="s">
        <v>699</v>
      </c>
      <c r="C43" s="1029" t="s">
        <v>701</v>
      </c>
      <c r="D43" s="1029" t="s">
        <v>702</v>
      </c>
      <c r="E43" s="1030" t="s">
        <v>940</v>
      </c>
      <c r="F43" s="1026"/>
      <c r="G43" s="1026"/>
      <c r="H43" s="1026"/>
      <c r="I43" s="1026"/>
      <c r="J43" s="1026"/>
      <c r="K43" s="1026"/>
      <c r="L43" s="1026"/>
      <c r="M43" s="1026"/>
      <c r="N43" s="1026"/>
      <c r="O43" s="1026"/>
      <c r="P43" s="1026"/>
      <c r="Q43" s="1026"/>
      <c r="R43" s="1026"/>
      <c r="S43" s="1026"/>
      <c r="T43" s="1026"/>
      <c r="U43" s="1026"/>
      <c r="V43" s="1026"/>
      <c r="W43" s="1026"/>
      <c r="X43" s="1026"/>
      <c r="Y43" s="1026"/>
      <c r="Z43" s="1026"/>
    </row>
    <row r="44" spans="1:26" ht="18.75" customHeight="1">
      <c r="A44" s="1031" t="s">
        <v>704</v>
      </c>
      <c r="B44" s="1032">
        <v>30456</v>
      </c>
      <c r="C44" s="1032">
        <v>30456</v>
      </c>
      <c r="D44" s="1032">
        <v>30453</v>
      </c>
      <c r="E44" s="1688">
        <v>1</v>
      </c>
      <c r="F44" s="1026"/>
      <c r="G44" s="1026"/>
      <c r="H44" s="1026"/>
      <c r="I44" s="1026"/>
      <c r="J44" s="1026"/>
      <c r="K44" s="1026"/>
      <c r="L44" s="1026"/>
      <c r="M44" s="1026"/>
      <c r="N44" s="1026"/>
      <c r="O44" s="1026"/>
      <c r="P44" s="1026"/>
      <c r="Q44" s="1026"/>
      <c r="R44" s="1026"/>
      <c r="S44" s="1026"/>
      <c r="T44" s="1026"/>
      <c r="U44" s="1026"/>
      <c r="V44" s="1026"/>
      <c r="W44" s="1026"/>
      <c r="X44" s="1026"/>
      <c r="Y44" s="1026"/>
      <c r="Z44" s="1026"/>
    </row>
    <row r="45" spans="1:26" ht="18.75" customHeight="1">
      <c r="A45" s="1034" t="s">
        <v>926</v>
      </c>
      <c r="B45" s="1035">
        <v>773</v>
      </c>
      <c r="C45" s="1035">
        <v>773</v>
      </c>
      <c r="D45" s="1035">
        <v>773</v>
      </c>
      <c r="E45" s="1689">
        <v>1</v>
      </c>
      <c r="F45" s="1026"/>
      <c r="G45" s="1026"/>
      <c r="H45" s="1026"/>
      <c r="I45" s="1026"/>
      <c r="J45" s="1026"/>
      <c r="K45" s="1026"/>
      <c r="L45" s="1026"/>
      <c r="M45" s="1026"/>
      <c r="N45" s="1026"/>
      <c r="O45" s="1026"/>
      <c r="P45" s="1026"/>
      <c r="Q45" s="1026"/>
      <c r="R45" s="1026"/>
      <c r="S45" s="1026"/>
      <c r="T45" s="1026"/>
      <c r="U45" s="1026"/>
      <c r="V45" s="1026"/>
      <c r="W45" s="1026"/>
      <c r="X45" s="1026"/>
      <c r="Y45" s="1026"/>
      <c r="Z45" s="1026"/>
    </row>
    <row r="46" spans="1:26" ht="26.25" customHeight="1">
      <c r="A46" s="1034" t="s">
        <v>927</v>
      </c>
      <c r="B46" s="1035">
        <v>19366</v>
      </c>
      <c r="C46" s="1035">
        <v>19366</v>
      </c>
      <c r="D46" s="1035">
        <v>19365</v>
      </c>
      <c r="E46" s="1689">
        <v>1</v>
      </c>
      <c r="F46" s="1026"/>
      <c r="G46" s="1026"/>
      <c r="H46" s="1026"/>
      <c r="I46" s="1026"/>
      <c r="J46" s="1026"/>
      <c r="K46" s="1026"/>
      <c r="L46" s="1026"/>
      <c r="M46" s="1026"/>
      <c r="N46" s="1026"/>
      <c r="O46" s="1026"/>
      <c r="P46" s="1026"/>
      <c r="Q46" s="1026"/>
      <c r="R46" s="1026"/>
      <c r="S46" s="1026"/>
      <c r="T46" s="1026"/>
      <c r="U46" s="1026"/>
      <c r="V46" s="1026"/>
      <c r="W46" s="1026"/>
      <c r="X46" s="1026"/>
      <c r="Y46" s="1026"/>
      <c r="Z46" s="1026"/>
    </row>
    <row r="47" spans="1:26" ht="18.75" customHeight="1">
      <c r="A47" s="1034" t="s">
        <v>928</v>
      </c>
      <c r="B47" s="1035">
        <v>8208</v>
      </c>
      <c r="C47" s="1035">
        <v>8208</v>
      </c>
      <c r="D47" s="1035">
        <v>8208</v>
      </c>
      <c r="E47" s="1689">
        <v>1</v>
      </c>
      <c r="F47" s="1026"/>
      <c r="G47" s="1026"/>
      <c r="H47" s="1026"/>
      <c r="I47" s="1026"/>
      <c r="J47" s="1026"/>
      <c r="K47" s="1026"/>
      <c r="L47" s="1026"/>
      <c r="M47" s="1026"/>
      <c r="N47" s="1026"/>
      <c r="O47" s="1026"/>
      <c r="P47" s="1026"/>
      <c r="Q47" s="1026"/>
      <c r="R47" s="1026"/>
      <c r="S47" s="1026"/>
      <c r="T47" s="1026"/>
      <c r="U47" s="1026"/>
      <c r="V47" s="1026"/>
      <c r="W47" s="1026"/>
      <c r="X47" s="1026"/>
      <c r="Y47" s="1026"/>
      <c r="Z47" s="1026"/>
    </row>
    <row r="48" spans="1:26" ht="25.5" customHeight="1">
      <c r="A48" s="1034" t="s">
        <v>929</v>
      </c>
      <c r="B48" s="1035">
        <v>1956</v>
      </c>
      <c r="C48" s="1035">
        <v>1956</v>
      </c>
      <c r="D48" s="1035">
        <v>1956</v>
      </c>
      <c r="E48" s="1689">
        <v>1</v>
      </c>
      <c r="F48" s="1026"/>
      <c r="G48" s="1026"/>
      <c r="H48" s="1026"/>
      <c r="I48" s="1026"/>
      <c r="J48" s="1026"/>
      <c r="K48" s="1026"/>
      <c r="L48" s="1026"/>
      <c r="M48" s="1026"/>
      <c r="N48" s="1026"/>
      <c r="O48" s="1026"/>
      <c r="P48" s="1026"/>
      <c r="Q48" s="1026"/>
      <c r="R48" s="1026"/>
      <c r="S48" s="1026"/>
      <c r="T48" s="1026"/>
      <c r="U48" s="1026"/>
      <c r="V48" s="1026"/>
      <c r="W48" s="1026"/>
      <c r="X48" s="1026"/>
      <c r="Y48" s="1026"/>
      <c r="Z48" s="1026"/>
    </row>
    <row r="49" spans="1:26" ht="25.5" customHeight="1">
      <c r="A49" s="1034" t="s">
        <v>930</v>
      </c>
      <c r="B49" s="1035">
        <v>153</v>
      </c>
      <c r="C49" s="1035">
        <v>153</v>
      </c>
      <c r="D49" s="1035">
        <v>152</v>
      </c>
      <c r="E49" s="1689">
        <v>0.99099999999999999</v>
      </c>
      <c r="F49" s="1026"/>
      <c r="G49" s="1026"/>
      <c r="H49" s="1026"/>
      <c r="I49" s="1026"/>
      <c r="J49" s="1026"/>
      <c r="K49" s="1026"/>
      <c r="L49" s="1026"/>
      <c r="M49" s="1026"/>
      <c r="N49" s="1026"/>
      <c r="O49" s="1026"/>
      <c r="P49" s="1026"/>
      <c r="Q49" s="1026"/>
      <c r="R49" s="1026"/>
      <c r="S49" s="1026"/>
      <c r="T49" s="1026"/>
      <c r="U49" s="1026"/>
      <c r="V49" s="1026"/>
      <c r="W49" s="1026"/>
      <c r="X49" s="1026"/>
      <c r="Y49" s="1026"/>
      <c r="Z49" s="1026"/>
    </row>
    <row r="50" spans="1:26" ht="18.75" customHeight="1">
      <c r="A50" s="1031" t="s">
        <v>705</v>
      </c>
      <c r="B50" s="1032">
        <v>908</v>
      </c>
      <c r="C50" s="1032">
        <v>908</v>
      </c>
      <c r="D50" s="1694">
        <v>908</v>
      </c>
      <c r="E50" s="1688">
        <v>1</v>
      </c>
      <c r="F50" s="1026"/>
      <c r="G50" s="1026"/>
      <c r="H50" s="1026"/>
      <c r="I50" s="1026"/>
      <c r="J50" s="1026"/>
      <c r="K50" s="1026"/>
      <c r="L50" s="1026"/>
      <c r="M50" s="1026"/>
      <c r="N50" s="1026"/>
      <c r="O50" s="1026"/>
      <c r="P50" s="1026"/>
      <c r="Q50" s="1026"/>
      <c r="R50" s="1026"/>
      <c r="S50" s="1026"/>
      <c r="T50" s="1026"/>
      <c r="U50" s="1026"/>
      <c r="V50" s="1026"/>
      <c r="W50" s="1026"/>
      <c r="X50" s="1026"/>
      <c r="Y50" s="1026"/>
      <c r="Z50" s="1026"/>
    </row>
    <row r="51" spans="1:26" ht="21.75" customHeight="1" thickBot="1">
      <c r="A51" s="1039" t="s">
        <v>941</v>
      </c>
      <c r="B51" s="1040">
        <v>31364</v>
      </c>
      <c r="C51" s="1040">
        <v>31364</v>
      </c>
      <c r="D51" s="1040">
        <v>31361</v>
      </c>
      <c r="E51" s="1690">
        <v>1</v>
      </c>
      <c r="F51" s="1026"/>
      <c r="G51" s="1693"/>
      <c r="H51" s="1026"/>
      <c r="I51" s="1026"/>
      <c r="J51" s="1026"/>
      <c r="K51" s="1026"/>
      <c r="L51" s="1026"/>
      <c r="M51" s="1026"/>
      <c r="N51" s="1026"/>
      <c r="O51" s="1026"/>
      <c r="P51" s="1026"/>
      <c r="Q51" s="1026"/>
      <c r="R51" s="1026"/>
      <c r="S51" s="1026"/>
      <c r="T51" s="1026"/>
      <c r="U51" s="1026"/>
      <c r="V51" s="1026"/>
      <c r="W51" s="1026"/>
      <c r="X51" s="1026"/>
      <c r="Y51" s="1026"/>
      <c r="Z51" s="1026"/>
    </row>
    <row r="52" spans="1:26">
      <c r="A52" s="1026"/>
      <c r="B52" s="1026"/>
      <c r="C52" s="1026"/>
      <c r="D52" s="1026"/>
      <c r="E52" s="1026"/>
      <c r="F52" s="1026"/>
      <c r="G52" s="1026"/>
      <c r="H52" s="1026"/>
      <c r="I52" s="1026"/>
      <c r="J52" s="1026"/>
      <c r="K52" s="1026"/>
      <c r="L52" s="1026"/>
      <c r="M52" s="1026"/>
      <c r="N52" s="1026"/>
      <c r="O52" s="1026"/>
      <c r="P52" s="1026"/>
      <c r="Q52" s="1026"/>
      <c r="R52" s="1026"/>
      <c r="S52" s="1026"/>
      <c r="T52" s="1026"/>
      <c r="U52" s="1026"/>
      <c r="V52" s="1026"/>
      <c r="W52" s="1026"/>
      <c r="X52" s="1026"/>
      <c r="Y52" s="1026"/>
      <c r="Z52" s="1026"/>
    </row>
    <row r="53" spans="1:26">
      <c r="A53" s="1026"/>
      <c r="B53" s="1026"/>
      <c r="C53" s="1026"/>
      <c r="D53" s="1026"/>
      <c r="E53" s="1026"/>
      <c r="F53" s="1026"/>
      <c r="G53" s="1026"/>
      <c r="H53" s="1026"/>
      <c r="I53" s="1026"/>
      <c r="J53" s="1026"/>
      <c r="K53" s="1026"/>
      <c r="L53" s="1026"/>
      <c r="M53" s="1026"/>
      <c r="N53" s="1026"/>
      <c r="O53" s="1026"/>
      <c r="P53" s="1026"/>
      <c r="Q53" s="1026"/>
      <c r="R53" s="1026"/>
      <c r="S53" s="1026"/>
      <c r="T53" s="1026"/>
      <c r="U53" s="1026"/>
      <c r="V53" s="1026"/>
      <c r="W53" s="1026"/>
      <c r="X53" s="1026"/>
      <c r="Y53" s="1026"/>
      <c r="Z53" s="1026"/>
    </row>
    <row r="54" spans="1:26" ht="15.75" customHeight="1">
      <c r="A54" s="2166" t="s">
        <v>942</v>
      </c>
      <c r="B54" s="2166"/>
      <c r="C54" s="2166"/>
      <c r="D54" s="2166"/>
      <c r="E54" s="2166"/>
      <c r="F54" s="1026"/>
      <c r="G54" s="1026"/>
      <c r="H54" s="1026"/>
      <c r="I54" s="1026"/>
      <c r="J54" s="1026"/>
      <c r="K54" s="1026"/>
      <c r="L54" s="1026"/>
      <c r="M54" s="1026"/>
      <c r="N54" s="1026"/>
      <c r="O54" s="1026"/>
      <c r="P54" s="1026"/>
      <c r="Q54" s="1026"/>
      <c r="R54" s="1026"/>
      <c r="S54" s="1026"/>
      <c r="T54" s="1026"/>
      <c r="U54" s="1026"/>
      <c r="V54" s="1026"/>
      <c r="W54" s="1026"/>
      <c r="X54" s="1026"/>
      <c r="Y54" s="1026"/>
      <c r="Z54" s="1026"/>
    </row>
    <row r="55" spans="1:26" ht="12" thickBot="1">
      <c r="A55" s="1042"/>
      <c r="B55" s="1042"/>
      <c r="C55" s="1042"/>
      <c r="D55" s="1042"/>
      <c r="E55" s="1042"/>
      <c r="F55" s="1042"/>
      <c r="G55" s="1026"/>
      <c r="H55" s="1026"/>
      <c r="I55" s="1026"/>
      <c r="J55" s="1026"/>
      <c r="K55" s="1026"/>
      <c r="L55" s="1026"/>
      <c r="M55" s="1026"/>
      <c r="N55" s="1026"/>
      <c r="O55" s="1026"/>
      <c r="P55" s="1026"/>
      <c r="Q55" s="1026"/>
      <c r="R55" s="1026"/>
      <c r="S55" s="1026"/>
      <c r="T55" s="1026"/>
      <c r="U55" s="1026"/>
      <c r="V55" s="1026"/>
      <c r="W55" s="1026"/>
      <c r="X55" s="1026"/>
      <c r="Y55" s="1026"/>
      <c r="Z55" s="1026"/>
    </row>
    <row r="56" spans="1:26" ht="26.25" customHeight="1">
      <c r="A56" s="1028" t="s">
        <v>139</v>
      </c>
      <c r="B56" s="1029" t="s">
        <v>701</v>
      </c>
      <c r="C56" s="1029" t="s">
        <v>702</v>
      </c>
      <c r="D56" s="1030" t="s">
        <v>940</v>
      </c>
      <c r="F56" s="1026"/>
      <c r="G56" s="1026"/>
      <c r="H56" s="1026"/>
      <c r="I56" s="1026"/>
      <c r="J56" s="1026"/>
      <c r="K56" s="1026"/>
      <c r="L56" s="1026"/>
      <c r="M56" s="1026"/>
      <c r="N56" s="1026"/>
      <c r="O56" s="1026"/>
      <c r="P56" s="1026"/>
      <c r="Q56" s="1026"/>
      <c r="R56" s="1026"/>
      <c r="S56" s="1026"/>
      <c r="T56" s="1026"/>
      <c r="U56" s="1026"/>
      <c r="V56" s="1026"/>
      <c r="W56" s="1026"/>
      <c r="X56" s="1026"/>
      <c r="Y56" s="1026"/>
      <c r="Z56" s="1026"/>
    </row>
    <row r="57" spans="1:26" ht="18.75" customHeight="1">
      <c r="A57" s="1031" t="s">
        <v>704</v>
      </c>
      <c r="B57" s="1032">
        <v>320</v>
      </c>
      <c r="C57" s="1032">
        <v>319</v>
      </c>
      <c r="D57" s="1688">
        <v>0.999</v>
      </c>
      <c r="F57" s="1026"/>
      <c r="G57" s="1026"/>
      <c r="H57" s="1026"/>
      <c r="I57" s="1026"/>
      <c r="J57" s="1026"/>
      <c r="K57" s="1026"/>
      <c r="L57" s="1026"/>
      <c r="M57" s="1026"/>
      <c r="N57" s="1026"/>
      <c r="O57" s="1026"/>
      <c r="P57" s="1026"/>
      <c r="Q57" s="1026"/>
      <c r="R57" s="1026"/>
      <c r="S57" s="1026"/>
      <c r="T57" s="1026"/>
      <c r="U57" s="1026"/>
      <c r="V57" s="1026"/>
      <c r="W57" s="1026"/>
      <c r="X57" s="1026"/>
      <c r="Y57" s="1026"/>
      <c r="Z57" s="1026"/>
    </row>
    <row r="58" spans="1:26" ht="18.75" customHeight="1">
      <c r="A58" s="1034" t="s">
        <v>926</v>
      </c>
      <c r="B58" s="1035">
        <v>152</v>
      </c>
      <c r="C58" s="1035">
        <v>152</v>
      </c>
      <c r="D58" s="1689">
        <v>1</v>
      </c>
      <c r="F58" s="1026"/>
      <c r="G58" s="1026"/>
      <c r="H58" s="1026"/>
      <c r="I58" s="1026"/>
      <c r="J58" s="1026"/>
      <c r="K58" s="1026"/>
      <c r="L58" s="1026"/>
      <c r="M58" s="1026"/>
      <c r="N58" s="1026"/>
      <c r="O58" s="1026"/>
      <c r="P58" s="1026"/>
      <c r="Q58" s="1026"/>
      <c r="R58" s="1026"/>
      <c r="S58" s="1026"/>
      <c r="T58" s="1026"/>
      <c r="U58" s="1026"/>
      <c r="V58" s="1026"/>
      <c r="W58" s="1026"/>
      <c r="X58" s="1026"/>
      <c r="Y58" s="1026"/>
      <c r="Z58" s="1026"/>
    </row>
    <row r="59" spans="1:26" ht="26.25" customHeight="1">
      <c r="A59" s="1034" t="s">
        <v>927</v>
      </c>
      <c r="B59" s="1035">
        <v>41</v>
      </c>
      <c r="C59" s="1035">
        <v>40</v>
      </c>
      <c r="D59" s="1689">
        <v>0.99099999999999999</v>
      </c>
      <c r="F59" s="1026"/>
      <c r="G59" s="1026"/>
      <c r="H59" s="1026"/>
      <c r="I59" s="1026"/>
      <c r="J59" s="1026"/>
      <c r="K59" s="1026"/>
      <c r="L59" s="1026"/>
      <c r="M59" s="1026"/>
      <c r="N59" s="1026"/>
      <c r="O59" s="1026"/>
      <c r="P59" s="1026"/>
      <c r="Q59" s="1026"/>
      <c r="R59" s="1026"/>
      <c r="S59" s="1026"/>
      <c r="T59" s="1026"/>
      <c r="U59" s="1026"/>
      <c r="V59" s="1026"/>
      <c r="W59" s="1026"/>
      <c r="X59" s="1026"/>
      <c r="Y59" s="1026"/>
      <c r="Z59" s="1026"/>
    </row>
    <row r="60" spans="1:26" ht="18.75" customHeight="1">
      <c r="A60" s="1034" t="s">
        <v>928</v>
      </c>
      <c r="B60" s="1035">
        <v>0.01</v>
      </c>
      <c r="C60" s="1035">
        <v>0.01</v>
      </c>
      <c r="D60" s="1689">
        <v>1</v>
      </c>
      <c r="F60" s="1026"/>
      <c r="G60" s="1026"/>
      <c r="H60" s="1026"/>
      <c r="I60" s="1026"/>
      <c r="J60" s="1026"/>
      <c r="K60" s="1026"/>
      <c r="L60" s="1026"/>
      <c r="M60" s="1026"/>
      <c r="N60" s="1026"/>
      <c r="O60" s="1026"/>
      <c r="P60" s="1026"/>
      <c r="Q60" s="1026"/>
      <c r="R60" s="1026"/>
      <c r="S60" s="1026"/>
      <c r="T60" s="1026"/>
      <c r="U60" s="1026"/>
      <c r="V60" s="1026"/>
      <c r="W60" s="1026"/>
      <c r="X60" s="1026"/>
      <c r="Y60" s="1026"/>
      <c r="Z60" s="1026"/>
    </row>
    <row r="61" spans="1:26" ht="25.5" customHeight="1">
      <c r="A61" s="1034" t="s">
        <v>929</v>
      </c>
      <c r="B61" s="1035">
        <v>126</v>
      </c>
      <c r="C61" s="1035">
        <v>126</v>
      </c>
      <c r="D61" s="1689">
        <v>1</v>
      </c>
      <c r="F61" s="1026"/>
      <c r="G61" s="1026"/>
      <c r="H61" s="1026"/>
      <c r="I61" s="1026"/>
      <c r="J61" s="1026"/>
      <c r="K61" s="1026"/>
      <c r="L61" s="1026"/>
      <c r="M61" s="1026"/>
      <c r="N61" s="1026"/>
      <c r="O61" s="1026"/>
      <c r="P61" s="1026"/>
      <c r="Q61" s="1026"/>
      <c r="R61" s="1026"/>
      <c r="S61" s="1026"/>
      <c r="T61" s="1026"/>
      <c r="U61" s="1026"/>
      <c r="V61" s="1026"/>
      <c r="W61" s="1026"/>
      <c r="X61" s="1026"/>
      <c r="Y61" s="1026"/>
      <c r="Z61" s="1026"/>
    </row>
    <row r="62" spans="1:26" ht="21.75" customHeight="1" thickBot="1">
      <c r="A62" s="1039" t="s">
        <v>943</v>
      </c>
      <c r="B62" s="1040">
        <v>320</v>
      </c>
      <c r="C62" s="1040">
        <v>319</v>
      </c>
      <c r="D62" s="1690">
        <v>0.999</v>
      </c>
      <c r="F62" s="1026"/>
      <c r="G62" s="1693"/>
      <c r="H62" s="1026"/>
      <c r="I62" s="1026"/>
      <c r="J62" s="1026"/>
      <c r="K62" s="1026"/>
      <c r="L62" s="1026"/>
      <c r="M62" s="1026"/>
      <c r="N62" s="1026"/>
      <c r="O62" s="1026"/>
      <c r="P62" s="1026"/>
      <c r="Q62" s="1026"/>
      <c r="R62" s="1026"/>
      <c r="S62" s="1026"/>
      <c r="T62" s="1026"/>
      <c r="U62" s="1026"/>
      <c r="V62" s="1026"/>
      <c r="W62" s="1026"/>
      <c r="X62" s="1026"/>
      <c r="Y62" s="1026"/>
      <c r="Z62" s="1026"/>
    </row>
    <row r="63" spans="1:26">
      <c r="A63" s="1026"/>
      <c r="B63" s="1026"/>
      <c r="C63" s="1026"/>
      <c r="D63" s="1026"/>
      <c r="E63" s="1026"/>
      <c r="F63" s="1026"/>
      <c r="G63" s="1026"/>
      <c r="H63" s="1026"/>
      <c r="I63" s="1026"/>
      <c r="J63" s="1026"/>
      <c r="K63" s="1026"/>
      <c r="L63" s="1026"/>
      <c r="M63" s="1026"/>
      <c r="N63" s="1026"/>
      <c r="O63" s="1026"/>
      <c r="P63" s="1026"/>
      <c r="Q63" s="1026"/>
      <c r="R63" s="1026"/>
      <c r="S63" s="1026"/>
      <c r="T63" s="1026"/>
      <c r="U63" s="1026"/>
      <c r="V63" s="1026"/>
      <c r="W63" s="1026"/>
      <c r="X63" s="1026"/>
      <c r="Y63" s="1026"/>
      <c r="Z63" s="1026"/>
    </row>
    <row r="64" spans="1:26">
      <c r="A64" s="1026"/>
      <c r="B64" s="1026"/>
      <c r="C64" s="1026"/>
      <c r="D64" s="1026"/>
      <c r="E64" s="1026"/>
      <c r="F64" s="1026"/>
      <c r="G64" s="1026"/>
      <c r="H64" s="1026"/>
      <c r="I64" s="1026"/>
      <c r="J64" s="1026"/>
      <c r="K64" s="1026"/>
      <c r="L64" s="1026"/>
      <c r="M64" s="1026"/>
      <c r="N64" s="1026"/>
      <c r="O64" s="1026"/>
      <c r="P64" s="1026"/>
      <c r="Q64" s="1026"/>
      <c r="R64" s="1026"/>
      <c r="S64" s="1026"/>
      <c r="T64" s="1026"/>
      <c r="U64" s="1026"/>
      <c r="V64" s="1026"/>
      <c r="W64" s="1026"/>
      <c r="X64" s="1026"/>
      <c r="Y64" s="1026"/>
      <c r="Z64" s="1026"/>
    </row>
    <row r="65" spans="1:26">
      <c r="A65" s="1026"/>
      <c r="B65" s="1026"/>
      <c r="C65" s="1026"/>
      <c r="D65" s="1026"/>
      <c r="E65" s="1026"/>
      <c r="F65" s="1026"/>
      <c r="G65" s="1026"/>
      <c r="H65" s="1026"/>
      <c r="I65" s="1026"/>
      <c r="J65" s="1026"/>
      <c r="K65" s="1026"/>
      <c r="L65" s="1026"/>
      <c r="M65" s="1026"/>
      <c r="N65" s="1026"/>
      <c r="O65" s="1026"/>
      <c r="P65" s="1026"/>
      <c r="Q65" s="1026"/>
      <c r="R65" s="1026"/>
      <c r="S65" s="1026"/>
      <c r="T65" s="1026"/>
      <c r="U65" s="1026"/>
      <c r="V65" s="1026"/>
      <c r="W65" s="1026"/>
      <c r="X65" s="1026"/>
      <c r="Y65" s="1026"/>
      <c r="Z65" s="1026"/>
    </row>
    <row r="66" spans="1:26">
      <c r="A66" s="1026"/>
      <c r="B66" s="1026"/>
      <c r="C66" s="1026"/>
      <c r="D66" s="1026"/>
      <c r="E66" s="1026"/>
      <c r="F66" s="1026"/>
      <c r="G66" s="1026"/>
      <c r="H66" s="1026"/>
      <c r="I66" s="1026"/>
      <c r="J66" s="1026"/>
      <c r="K66" s="1026"/>
      <c r="L66" s="1026"/>
      <c r="M66" s="1026"/>
      <c r="N66" s="1026"/>
      <c r="O66" s="1026"/>
      <c r="P66" s="1026"/>
      <c r="Q66" s="1026"/>
      <c r="R66" s="1026"/>
      <c r="S66" s="1026"/>
      <c r="T66" s="1026"/>
      <c r="U66" s="1026"/>
      <c r="V66" s="1026"/>
      <c r="W66" s="1026"/>
      <c r="X66" s="1026"/>
      <c r="Y66" s="1026"/>
      <c r="Z66" s="1026"/>
    </row>
    <row r="67" spans="1:26">
      <c r="A67" s="1026"/>
      <c r="B67" s="1026"/>
      <c r="C67" s="1026"/>
      <c r="D67" s="1026"/>
      <c r="E67" s="1026"/>
      <c r="F67" s="1026"/>
      <c r="G67" s="1026"/>
      <c r="H67" s="1026"/>
      <c r="I67" s="1026"/>
      <c r="J67" s="1026"/>
      <c r="K67" s="1026"/>
      <c r="L67" s="1026"/>
      <c r="M67" s="1026"/>
      <c r="N67" s="1026"/>
      <c r="O67" s="1026"/>
      <c r="P67" s="1026"/>
      <c r="Q67" s="1026"/>
      <c r="R67" s="1026"/>
      <c r="S67" s="1026"/>
      <c r="T67" s="1026"/>
      <c r="U67" s="1026"/>
      <c r="V67" s="1026"/>
      <c r="W67" s="1026"/>
      <c r="X67" s="1026"/>
      <c r="Y67" s="1026"/>
      <c r="Z67" s="1026"/>
    </row>
    <row r="68" spans="1:26">
      <c r="A68" s="1026"/>
      <c r="B68" s="1026"/>
      <c r="C68" s="1026"/>
      <c r="D68" s="1026"/>
      <c r="E68" s="1026"/>
      <c r="F68" s="1026"/>
      <c r="G68" s="1026"/>
      <c r="H68" s="1026"/>
      <c r="I68" s="1026"/>
      <c r="J68" s="1026"/>
      <c r="K68" s="1026"/>
      <c r="L68" s="1026"/>
      <c r="M68" s="1026"/>
      <c r="N68" s="1026"/>
      <c r="O68" s="1026"/>
      <c r="P68" s="1026"/>
      <c r="Q68" s="1026"/>
      <c r="R68" s="1026"/>
      <c r="S68" s="1026"/>
      <c r="T68" s="1026"/>
      <c r="U68" s="1026"/>
      <c r="V68" s="1026"/>
      <c r="W68" s="1026"/>
      <c r="X68" s="1026"/>
      <c r="Y68" s="1026"/>
      <c r="Z68" s="1026"/>
    </row>
    <row r="69" spans="1:26">
      <c r="A69" s="1026"/>
      <c r="B69" s="1026"/>
      <c r="C69" s="1026"/>
      <c r="D69" s="1026"/>
      <c r="E69" s="1026"/>
      <c r="F69" s="1026"/>
      <c r="G69" s="1026"/>
      <c r="H69" s="1026"/>
      <c r="I69" s="1026"/>
      <c r="J69" s="1026"/>
      <c r="K69" s="1026"/>
      <c r="L69" s="1026"/>
      <c r="M69" s="1026"/>
      <c r="N69" s="1026"/>
      <c r="O69" s="1026"/>
      <c r="P69" s="1026"/>
      <c r="Q69" s="1026"/>
      <c r="R69" s="1026"/>
      <c r="S69" s="1026"/>
      <c r="T69" s="1026"/>
      <c r="U69" s="1026"/>
      <c r="V69" s="1026"/>
      <c r="W69" s="1026"/>
      <c r="X69" s="1026"/>
      <c r="Y69" s="1026"/>
      <c r="Z69" s="1026"/>
    </row>
    <row r="70" spans="1:26">
      <c r="A70" s="1026"/>
      <c r="B70" s="1026"/>
      <c r="C70" s="1026"/>
      <c r="D70" s="1026"/>
      <c r="E70" s="1026"/>
      <c r="F70" s="1026"/>
      <c r="G70" s="1026"/>
      <c r="H70" s="1026"/>
      <c r="I70" s="1026"/>
      <c r="J70" s="1026"/>
      <c r="K70" s="1026"/>
      <c r="L70" s="1026"/>
      <c r="M70" s="1026"/>
      <c r="N70" s="1026"/>
      <c r="O70" s="1026"/>
      <c r="P70" s="1026"/>
      <c r="Q70" s="1026"/>
      <c r="R70" s="1026"/>
      <c r="S70" s="1026"/>
      <c r="T70" s="1026"/>
      <c r="U70" s="1026"/>
      <c r="V70" s="1026"/>
      <c r="W70" s="1026"/>
      <c r="X70" s="1026"/>
      <c r="Y70" s="1026"/>
      <c r="Z70" s="1026"/>
    </row>
    <row r="71" spans="1:26">
      <c r="A71" s="1026"/>
      <c r="B71" s="1026"/>
      <c r="C71" s="1026"/>
      <c r="D71" s="1026"/>
      <c r="E71" s="1026"/>
      <c r="F71" s="1026"/>
      <c r="G71" s="1026"/>
      <c r="H71" s="1026"/>
      <c r="I71" s="1026"/>
      <c r="J71" s="1026"/>
      <c r="K71" s="1026"/>
      <c r="L71" s="1026"/>
      <c r="M71" s="1026"/>
      <c r="N71" s="1026"/>
      <c r="O71" s="1026"/>
      <c r="P71" s="1026"/>
      <c r="Q71" s="1026"/>
      <c r="R71" s="1026"/>
      <c r="S71" s="1026"/>
      <c r="T71" s="1026"/>
      <c r="U71" s="1026"/>
      <c r="V71" s="1026"/>
      <c r="W71" s="1026"/>
      <c r="X71" s="1026"/>
      <c r="Y71" s="1026"/>
      <c r="Z71" s="1026"/>
    </row>
    <row r="72" spans="1:26">
      <c r="A72" s="1026"/>
      <c r="B72" s="1026"/>
      <c r="C72" s="1026"/>
      <c r="D72" s="1026"/>
      <c r="E72" s="1026"/>
      <c r="F72" s="1026"/>
      <c r="G72" s="1026"/>
      <c r="H72" s="1026"/>
      <c r="I72" s="1026"/>
      <c r="J72" s="1026"/>
      <c r="K72" s="1026"/>
      <c r="L72" s="1026"/>
      <c r="M72" s="1026"/>
      <c r="N72" s="1026"/>
      <c r="O72" s="1026"/>
      <c r="P72" s="1026"/>
      <c r="Q72" s="1026"/>
      <c r="R72" s="1026"/>
      <c r="S72" s="1026"/>
      <c r="T72" s="1026"/>
      <c r="U72" s="1026"/>
      <c r="V72" s="1026"/>
      <c r="W72" s="1026"/>
      <c r="X72" s="1026"/>
      <c r="Y72" s="1026"/>
      <c r="Z72" s="1026"/>
    </row>
    <row r="73" spans="1:26">
      <c r="A73" s="1026"/>
      <c r="B73" s="1026"/>
      <c r="C73" s="1026"/>
      <c r="D73" s="1026"/>
      <c r="E73" s="1026"/>
      <c r="F73" s="1026"/>
      <c r="G73" s="1026"/>
      <c r="H73" s="1026"/>
      <c r="I73" s="1026"/>
      <c r="J73" s="1026"/>
      <c r="K73" s="1026"/>
      <c r="L73" s="1026"/>
      <c r="M73" s="1026"/>
      <c r="N73" s="1026"/>
      <c r="O73" s="1026"/>
      <c r="P73" s="1026"/>
      <c r="Q73" s="1026"/>
      <c r="R73" s="1026"/>
      <c r="S73" s="1026"/>
      <c r="T73" s="1026"/>
      <c r="U73" s="1026"/>
      <c r="V73" s="1026"/>
      <c r="W73" s="1026"/>
      <c r="X73" s="1026"/>
      <c r="Y73" s="1026"/>
      <c r="Z73" s="1026"/>
    </row>
    <row r="74" spans="1:26">
      <c r="A74" s="1026"/>
      <c r="B74" s="1026"/>
      <c r="C74" s="1026"/>
      <c r="D74" s="1026"/>
      <c r="E74" s="1026"/>
      <c r="F74" s="1026"/>
      <c r="G74" s="1026"/>
      <c r="H74" s="1026"/>
      <c r="I74" s="1026"/>
      <c r="J74" s="1026"/>
      <c r="K74" s="1026"/>
      <c r="L74" s="1026"/>
      <c r="M74" s="1026"/>
      <c r="N74" s="1026"/>
      <c r="O74" s="1026"/>
      <c r="P74" s="1026"/>
      <c r="Q74" s="1026"/>
      <c r="R74" s="1026"/>
      <c r="S74" s="1026"/>
      <c r="T74" s="1026"/>
      <c r="U74" s="1026"/>
      <c r="V74" s="1026"/>
      <c r="W74" s="1026"/>
      <c r="X74" s="1026"/>
      <c r="Y74" s="1026"/>
      <c r="Z74" s="1026"/>
    </row>
    <row r="75" spans="1:26">
      <c r="A75" s="1026"/>
      <c r="B75" s="1026"/>
      <c r="C75" s="1026"/>
      <c r="D75" s="1026"/>
      <c r="E75" s="1026"/>
      <c r="F75" s="1026"/>
      <c r="G75" s="1026"/>
      <c r="H75" s="1026"/>
      <c r="I75" s="1026"/>
      <c r="J75" s="1026"/>
      <c r="K75" s="1026"/>
      <c r="L75" s="1026"/>
      <c r="M75" s="1026"/>
      <c r="N75" s="1026"/>
      <c r="O75" s="1026"/>
      <c r="P75" s="1026"/>
      <c r="Q75" s="1026"/>
      <c r="R75" s="1026"/>
      <c r="S75" s="1026"/>
      <c r="T75" s="1026"/>
      <c r="U75" s="1026"/>
      <c r="V75" s="1026"/>
      <c r="W75" s="1026"/>
      <c r="X75" s="1026"/>
      <c r="Y75" s="1026"/>
      <c r="Z75" s="1026"/>
    </row>
    <row r="76" spans="1:26">
      <c r="A76" s="1026"/>
      <c r="B76" s="1026"/>
      <c r="C76" s="1026"/>
      <c r="D76" s="1026"/>
      <c r="E76" s="1026"/>
      <c r="F76" s="1026"/>
      <c r="G76" s="1026"/>
      <c r="H76" s="1026"/>
      <c r="I76" s="1026"/>
      <c r="J76" s="1026"/>
      <c r="K76" s="1026"/>
      <c r="L76" s="1026"/>
      <c r="M76" s="1026"/>
      <c r="N76" s="1026"/>
      <c r="O76" s="1026"/>
      <c r="P76" s="1026"/>
      <c r="Q76" s="1026"/>
      <c r="R76" s="1026"/>
      <c r="S76" s="1026"/>
      <c r="T76" s="1026"/>
      <c r="U76" s="1026"/>
      <c r="V76" s="1026"/>
      <c r="W76" s="1026"/>
      <c r="X76" s="1026"/>
      <c r="Y76" s="1026"/>
      <c r="Z76" s="1026"/>
    </row>
    <row r="77" spans="1:26">
      <c r="A77" s="1026"/>
      <c r="B77" s="1026"/>
      <c r="C77" s="1026"/>
      <c r="D77" s="1026"/>
      <c r="E77" s="1026"/>
      <c r="F77" s="1026"/>
      <c r="G77" s="1026"/>
      <c r="H77" s="1026"/>
      <c r="I77" s="1026"/>
      <c r="J77" s="1026"/>
      <c r="K77" s="1026"/>
      <c r="L77" s="1026"/>
      <c r="M77" s="1026"/>
      <c r="N77" s="1026"/>
      <c r="O77" s="1026"/>
      <c r="P77" s="1026"/>
      <c r="Q77" s="1026"/>
      <c r="R77" s="1026"/>
      <c r="S77" s="1026"/>
      <c r="T77" s="1026"/>
      <c r="U77" s="1026"/>
      <c r="V77" s="1026"/>
      <c r="W77" s="1026"/>
      <c r="X77" s="1026"/>
      <c r="Y77" s="1026"/>
      <c r="Z77" s="1026"/>
    </row>
    <row r="78" spans="1:26">
      <c r="A78" s="1026"/>
      <c r="B78" s="1026"/>
      <c r="C78" s="1026"/>
      <c r="D78" s="1026"/>
      <c r="E78" s="1026"/>
      <c r="F78" s="1026"/>
      <c r="G78" s="1026"/>
      <c r="H78" s="1026"/>
      <c r="I78" s="1026"/>
      <c r="J78" s="1026"/>
      <c r="K78" s="1026"/>
      <c r="L78" s="1026"/>
      <c r="M78" s="1026"/>
      <c r="N78" s="1026"/>
      <c r="O78" s="1026"/>
      <c r="P78" s="1026"/>
      <c r="Q78" s="1026"/>
      <c r="R78" s="1026"/>
      <c r="S78" s="1026"/>
      <c r="T78" s="1026"/>
      <c r="U78" s="1026"/>
      <c r="V78" s="1026"/>
      <c r="W78" s="1026"/>
      <c r="X78" s="1026"/>
      <c r="Y78" s="1026"/>
      <c r="Z78" s="1026"/>
    </row>
    <row r="79" spans="1:26">
      <c r="A79" s="1026"/>
      <c r="B79" s="1026"/>
      <c r="C79" s="1026"/>
      <c r="D79" s="1026"/>
      <c r="E79" s="1026"/>
      <c r="F79" s="1026"/>
      <c r="G79" s="1026"/>
      <c r="H79" s="1026"/>
      <c r="I79" s="1026"/>
      <c r="J79" s="1026"/>
      <c r="K79" s="1026"/>
      <c r="L79" s="1026"/>
      <c r="M79" s="1026"/>
      <c r="N79" s="1026"/>
      <c r="O79" s="1026"/>
      <c r="P79" s="1026"/>
      <c r="Q79" s="1026"/>
      <c r="R79" s="1026"/>
      <c r="S79" s="1026"/>
      <c r="T79" s="1026"/>
      <c r="U79" s="1026"/>
      <c r="V79" s="1026"/>
      <c r="W79" s="1026"/>
      <c r="X79" s="1026"/>
      <c r="Y79" s="1026"/>
      <c r="Z79" s="1026"/>
    </row>
    <row r="80" spans="1:26">
      <c r="A80" s="1026"/>
      <c r="B80" s="1026"/>
      <c r="C80" s="1026"/>
      <c r="D80" s="1026"/>
      <c r="E80" s="1026"/>
      <c r="F80" s="1026"/>
      <c r="G80" s="1026"/>
      <c r="H80" s="1026"/>
      <c r="I80" s="1026"/>
      <c r="J80" s="1026"/>
      <c r="K80" s="1026"/>
      <c r="L80" s="1026"/>
      <c r="M80" s="1026"/>
      <c r="N80" s="1026"/>
      <c r="O80" s="1026"/>
      <c r="P80" s="1026"/>
      <c r="Q80" s="1026"/>
      <c r="R80" s="1026"/>
      <c r="S80" s="1026"/>
      <c r="T80" s="1026"/>
      <c r="U80" s="1026"/>
      <c r="V80" s="1026"/>
      <c r="W80" s="1026"/>
      <c r="X80" s="1026"/>
      <c r="Y80" s="1026"/>
      <c r="Z80" s="1026"/>
    </row>
    <row r="81" spans="1:26">
      <c r="A81" s="1026"/>
      <c r="B81" s="1026"/>
      <c r="C81" s="1026"/>
      <c r="D81" s="1026"/>
      <c r="E81" s="1026"/>
      <c r="F81" s="1026"/>
      <c r="G81" s="1026"/>
      <c r="H81" s="1026"/>
      <c r="I81" s="1026"/>
      <c r="J81" s="1026"/>
      <c r="K81" s="1026"/>
      <c r="L81" s="1026"/>
      <c r="M81" s="1026"/>
      <c r="N81" s="1026"/>
      <c r="O81" s="1026"/>
      <c r="P81" s="1026"/>
      <c r="Q81" s="1026"/>
      <c r="R81" s="1026"/>
      <c r="S81" s="1026"/>
      <c r="T81" s="1026"/>
      <c r="U81" s="1026"/>
      <c r="V81" s="1026"/>
      <c r="W81" s="1026"/>
      <c r="X81" s="1026"/>
      <c r="Y81" s="1026"/>
      <c r="Z81" s="1026"/>
    </row>
    <row r="82" spans="1:26">
      <c r="A82" s="1026"/>
      <c r="B82" s="1026"/>
      <c r="C82" s="1026"/>
      <c r="D82" s="1026"/>
      <c r="E82" s="1026"/>
      <c r="F82" s="1026"/>
      <c r="G82" s="1026"/>
      <c r="H82" s="1026"/>
      <c r="I82" s="1026"/>
      <c r="J82" s="1026"/>
      <c r="K82" s="1026"/>
      <c r="L82" s="1026"/>
      <c r="M82" s="1026"/>
      <c r="N82" s="1026"/>
      <c r="O82" s="1026"/>
      <c r="P82" s="1026"/>
      <c r="Q82" s="1026"/>
      <c r="R82" s="1026"/>
      <c r="S82" s="1026"/>
      <c r="T82" s="1026"/>
      <c r="U82" s="1026"/>
      <c r="V82" s="1026"/>
      <c r="W82" s="1026"/>
      <c r="X82" s="1026"/>
      <c r="Y82" s="1026"/>
      <c r="Z82" s="1026"/>
    </row>
    <row r="83" spans="1:26">
      <c r="A83" s="1026"/>
      <c r="B83" s="1026"/>
      <c r="C83" s="1026"/>
      <c r="D83" s="1026"/>
      <c r="E83" s="1026"/>
      <c r="F83" s="1026"/>
      <c r="G83" s="1026"/>
      <c r="H83" s="1026"/>
      <c r="I83" s="1026"/>
      <c r="J83" s="1026"/>
      <c r="K83" s="1026"/>
      <c r="L83" s="1026"/>
      <c r="M83" s="1026"/>
      <c r="N83" s="1026"/>
      <c r="O83" s="1026"/>
      <c r="P83" s="1026"/>
      <c r="Q83" s="1026"/>
      <c r="R83" s="1026"/>
      <c r="S83" s="1026"/>
      <c r="T83" s="1026"/>
      <c r="U83" s="1026"/>
      <c r="V83" s="1026"/>
      <c r="W83" s="1026"/>
      <c r="X83" s="1026"/>
      <c r="Y83" s="1026"/>
      <c r="Z83" s="1026"/>
    </row>
    <row r="84" spans="1:26">
      <c r="A84" s="1026"/>
      <c r="B84" s="1026"/>
      <c r="C84" s="1026"/>
      <c r="D84" s="1026"/>
      <c r="E84" s="1026"/>
      <c r="F84" s="1026"/>
      <c r="G84" s="1026"/>
      <c r="H84" s="1026"/>
      <c r="I84" s="1026"/>
      <c r="J84" s="1026"/>
      <c r="K84" s="1026"/>
      <c r="L84" s="1026"/>
      <c r="M84" s="1026"/>
      <c r="N84" s="1026"/>
      <c r="O84" s="1026"/>
      <c r="P84" s="1026"/>
      <c r="Q84" s="1026"/>
      <c r="R84" s="1026"/>
      <c r="S84" s="1026"/>
      <c r="T84" s="1026"/>
      <c r="U84" s="1026"/>
      <c r="V84" s="1026"/>
      <c r="W84" s="1026"/>
      <c r="X84" s="1026"/>
      <c r="Y84" s="1026"/>
      <c r="Z84" s="1026"/>
    </row>
    <row r="85" spans="1:26">
      <c r="A85" s="1026"/>
      <c r="B85" s="1026"/>
      <c r="C85" s="1026"/>
      <c r="D85" s="1026"/>
      <c r="E85" s="1026"/>
      <c r="F85" s="1026"/>
      <c r="G85" s="1026"/>
      <c r="H85" s="1026"/>
      <c r="I85" s="1026"/>
      <c r="J85" s="1026"/>
      <c r="K85" s="1026"/>
      <c r="L85" s="1026"/>
      <c r="M85" s="1026"/>
      <c r="N85" s="1026"/>
      <c r="O85" s="1026"/>
      <c r="P85" s="1026"/>
      <c r="Q85" s="1026"/>
      <c r="R85" s="1026"/>
      <c r="S85" s="1026"/>
      <c r="T85" s="1026"/>
      <c r="U85" s="1026"/>
      <c r="V85" s="1026"/>
      <c r="W85" s="1026"/>
      <c r="X85" s="1026"/>
      <c r="Y85" s="1026"/>
      <c r="Z85" s="1026"/>
    </row>
    <row r="86" spans="1:26">
      <c r="A86" s="1026"/>
      <c r="B86" s="1026"/>
      <c r="C86" s="1026"/>
      <c r="D86" s="1026"/>
      <c r="E86" s="1026"/>
      <c r="F86" s="1026"/>
      <c r="G86" s="1026"/>
      <c r="H86" s="1026"/>
      <c r="I86" s="1026"/>
      <c r="J86" s="1026"/>
      <c r="K86" s="1026"/>
      <c r="L86" s="1026"/>
      <c r="M86" s="1026"/>
      <c r="N86" s="1026"/>
      <c r="O86" s="1026"/>
      <c r="P86" s="1026"/>
      <c r="Q86" s="1026"/>
      <c r="R86" s="1026"/>
      <c r="S86" s="1026"/>
      <c r="T86" s="1026"/>
      <c r="U86" s="1026"/>
      <c r="V86" s="1026"/>
      <c r="W86" s="1026"/>
      <c r="X86" s="1026"/>
      <c r="Y86" s="1026"/>
      <c r="Z86" s="1026"/>
    </row>
    <row r="87" spans="1:26">
      <c r="A87" s="1026"/>
      <c r="B87" s="1026"/>
      <c r="C87" s="1026"/>
      <c r="D87" s="1026"/>
      <c r="E87" s="1026"/>
      <c r="F87" s="1026"/>
      <c r="G87" s="1026"/>
      <c r="H87" s="1026"/>
      <c r="I87" s="1026"/>
      <c r="J87" s="1026"/>
      <c r="K87" s="1026"/>
      <c r="L87" s="1026"/>
      <c r="M87" s="1026"/>
      <c r="N87" s="1026"/>
      <c r="O87" s="1026"/>
      <c r="P87" s="1026"/>
      <c r="Q87" s="1026"/>
      <c r="R87" s="1026"/>
      <c r="S87" s="1026"/>
      <c r="T87" s="1026"/>
      <c r="U87" s="1026"/>
      <c r="V87" s="1026"/>
      <c r="W87" s="1026"/>
      <c r="X87" s="1026"/>
      <c r="Y87" s="1026"/>
      <c r="Z87" s="1026"/>
    </row>
    <row r="88" spans="1:26">
      <c r="A88" s="1026"/>
      <c r="B88" s="1026"/>
      <c r="C88" s="1026"/>
      <c r="D88" s="1026"/>
      <c r="E88" s="1026"/>
      <c r="F88" s="1026"/>
      <c r="G88" s="1026"/>
      <c r="H88" s="1026"/>
      <c r="I88" s="1026"/>
      <c r="J88" s="1026"/>
      <c r="K88" s="1026"/>
      <c r="L88" s="1026"/>
      <c r="M88" s="1026"/>
      <c r="N88" s="1026"/>
      <c r="O88" s="1026"/>
      <c r="P88" s="1026"/>
      <c r="Q88" s="1026"/>
      <c r="R88" s="1026"/>
      <c r="S88" s="1026"/>
      <c r="T88" s="1026"/>
      <c r="U88" s="1026"/>
      <c r="V88" s="1026"/>
      <c r="W88" s="1026"/>
      <c r="X88" s="1026"/>
      <c r="Y88" s="1026"/>
      <c r="Z88" s="1026"/>
    </row>
    <row r="89" spans="1:26">
      <c r="A89" s="1026"/>
      <c r="B89" s="1026"/>
      <c r="C89" s="1026"/>
      <c r="D89" s="1026"/>
      <c r="E89" s="1026"/>
      <c r="F89" s="1026"/>
      <c r="G89" s="1026"/>
      <c r="H89" s="1026"/>
      <c r="I89" s="1026"/>
      <c r="J89" s="1026"/>
      <c r="K89" s="1026"/>
      <c r="L89" s="1026"/>
      <c r="M89" s="1026"/>
      <c r="N89" s="1026"/>
      <c r="O89" s="1026"/>
      <c r="P89" s="1026"/>
      <c r="Q89" s="1026"/>
      <c r="R89" s="1026"/>
      <c r="S89" s="1026"/>
      <c r="T89" s="1026"/>
      <c r="U89" s="1026"/>
      <c r="V89" s="1026"/>
      <c r="W89" s="1026"/>
      <c r="X89" s="1026"/>
      <c r="Y89" s="1026"/>
      <c r="Z89" s="1026"/>
    </row>
    <row r="90" spans="1:26">
      <c r="A90" s="1026"/>
      <c r="B90" s="1026"/>
      <c r="C90" s="1026"/>
      <c r="D90" s="1026"/>
      <c r="E90" s="1026"/>
      <c r="F90" s="1026"/>
      <c r="G90" s="1026"/>
      <c r="H90" s="1026"/>
      <c r="I90" s="1026"/>
      <c r="J90" s="1026"/>
      <c r="K90" s="1026"/>
      <c r="L90" s="1026"/>
      <c r="M90" s="1026"/>
      <c r="N90" s="1026"/>
      <c r="O90" s="1026"/>
      <c r="P90" s="1026"/>
      <c r="Q90" s="1026"/>
      <c r="R90" s="1026"/>
      <c r="S90" s="1026"/>
      <c r="T90" s="1026"/>
      <c r="U90" s="1026"/>
      <c r="V90" s="1026"/>
      <c r="W90" s="1026"/>
      <c r="X90" s="1026"/>
      <c r="Y90" s="1026"/>
      <c r="Z90" s="1026"/>
    </row>
    <row r="91" spans="1:26">
      <c r="A91" s="1026"/>
      <c r="B91" s="1026"/>
      <c r="C91" s="1026"/>
      <c r="D91" s="1026"/>
      <c r="E91" s="1026"/>
      <c r="F91" s="1026"/>
      <c r="G91" s="1026"/>
      <c r="H91" s="1026"/>
      <c r="I91" s="1026"/>
      <c r="J91" s="1026"/>
      <c r="K91" s="1026"/>
      <c r="L91" s="1026"/>
      <c r="M91" s="1026"/>
      <c r="N91" s="1026"/>
      <c r="O91" s="1026"/>
      <c r="P91" s="1026"/>
      <c r="Q91" s="1026"/>
      <c r="R91" s="1026"/>
      <c r="S91" s="1026"/>
      <c r="T91" s="1026"/>
      <c r="U91" s="1026"/>
      <c r="V91" s="1026"/>
      <c r="W91" s="1026"/>
      <c r="X91" s="1026"/>
      <c r="Y91" s="1026"/>
      <c r="Z91" s="1026"/>
    </row>
    <row r="92" spans="1:26">
      <c r="A92" s="1026"/>
      <c r="B92" s="1026"/>
      <c r="C92" s="1026"/>
      <c r="D92" s="1026"/>
      <c r="E92" s="1026"/>
      <c r="F92" s="1026"/>
      <c r="G92" s="1026"/>
      <c r="H92" s="1026"/>
      <c r="I92" s="1026"/>
      <c r="J92" s="1026"/>
      <c r="K92" s="1026"/>
      <c r="L92" s="1026"/>
      <c r="M92" s="1026"/>
      <c r="N92" s="1026"/>
      <c r="O92" s="1026"/>
      <c r="P92" s="1026"/>
      <c r="Q92" s="1026"/>
      <c r="R92" s="1026"/>
      <c r="S92" s="1026"/>
      <c r="T92" s="1026"/>
      <c r="U92" s="1026"/>
      <c r="V92" s="1026"/>
      <c r="W92" s="1026"/>
      <c r="X92" s="1026"/>
      <c r="Y92" s="1026"/>
      <c r="Z92" s="1026"/>
    </row>
    <row r="93" spans="1:26">
      <c r="A93" s="1026"/>
      <c r="B93" s="1026"/>
      <c r="C93" s="1026"/>
      <c r="D93" s="1026"/>
      <c r="E93" s="1026"/>
      <c r="F93" s="1026"/>
      <c r="G93" s="1026"/>
      <c r="H93" s="1026"/>
      <c r="I93" s="1026"/>
      <c r="J93" s="1026"/>
      <c r="K93" s="1026"/>
      <c r="L93" s="1026"/>
      <c r="M93" s="1026"/>
      <c r="N93" s="1026"/>
      <c r="O93" s="1026"/>
      <c r="P93" s="1026"/>
      <c r="Q93" s="1026"/>
      <c r="R93" s="1026"/>
      <c r="S93" s="1026"/>
      <c r="T93" s="1026"/>
      <c r="U93" s="1026"/>
      <c r="V93" s="1026"/>
      <c r="W93" s="1026"/>
      <c r="X93" s="1026"/>
      <c r="Y93" s="1026"/>
      <c r="Z93" s="1026"/>
    </row>
    <row r="94" spans="1:26">
      <c r="A94" s="1026"/>
      <c r="B94" s="1026"/>
      <c r="C94" s="1026"/>
      <c r="D94" s="1026"/>
      <c r="E94" s="1026"/>
      <c r="F94" s="1026"/>
      <c r="G94" s="1026"/>
      <c r="H94" s="1026"/>
      <c r="I94" s="1026"/>
      <c r="J94" s="1026"/>
      <c r="K94" s="1026"/>
      <c r="L94" s="1026"/>
      <c r="M94" s="1026"/>
      <c r="N94" s="1026"/>
      <c r="O94" s="1026"/>
      <c r="P94" s="1026"/>
      <c r="Q94" s="1026"/>
      <c r="R94" s="1026"/>
      <c r="S94" s="1026"/>
      <c r="T94" s="1026"/>
      <c r="U94" s="1026"/>
      <c r="V94" s="1026"/>
      <c r="W94" s="1026"/>
      <c r="X94" s="1026"/>
      <c r="Y94" s="1026"/>
      <c r="Z94" s="1026"/>
    </row>
    <row r="95" spans="1:26">
      <c r="A95" s="1026"/>
      <c r="B95" s="1026"/>
      <c r="C95" s="1026"/>
      <c r="D95" s="1026"/>
      <c r="E95" s="1026"/>
      <c r="F95" s="1026"/>
      <c r="G95" s="1026"/>
      <c r="H95" s="1026"/>
      <c r="I95" s="1026"/>
      <c r="J95" s="1026"/>
      <c r="K95" s="1026"/>
      <c r="L95" s="1026"/>
      <c r="M95" s="1026"/>
      <c r="N95" s="1026"/>
      <c r="O95" s="1026"/>
      <c r="P95" s="1026"/>
      <c r="Q95" s="1026"/>
      <c r="R95" s="1026"/>
      <c r="S95" s="1026"/>
      <c r="T95" s="1026"/>
      <c r="U95" s="1026"/>
      <c r="V95" s="1026"/>
      <c r="W95" s="1026"/>
      <c r="X95" s="1026"/>
      <c r="Y95" s="1026"/>
      <c r="Z95" s="1026"/>
    </row>
    <row r="96" spans="1:26">
      <c r="A96" s="1026"/>
      <c r="B96" s="1026"/>
      <c r="C96" s="1026"/>
      <c r="D96" s="1026"/>
      <c r="E96" s="1026"/>
      <c r="F96" s="1026"/>
      <c r="G96" s="1026"/>
      <c r="H96" s="1026"/>
      <c r="I96" s="1026"/>
      <c r="J96" s="1026"/>
      <c r="K96" s="1026"/>
      <c r="L96" s="1026"/>
      <c r="M96" s="1026"/>
      <c r="N96" s="1026"/>
      <c r="O96" s="1026"/>
      <c r="P96" s="1026"/>
      <c r="Q96" s="1026"/>
      <c r="R96" s="1026"/>
      <c r="S96" s="1026"/>
      <c r="T96" s="1026"/>
      <c r="U96" s="1026"/>
      <c r="V96" s="1026"/>
      <c r="W96" s="1026"/>
      <c r="X96" s="1026"/>
      <c r="Y96" s="1026"/>
      <c r="Z96" s="1026"/>
    </row>
    <row r="97" spans="1:26">
      <c r="A97" s="1026"/>
      <c r="B97" s="1026"/>
      <c r="C97" s="1026"/>
      <c r="D97" s="1026"/>
      <c r="E97" s="1026"/>
      <c r="F97" s="1026"/>
      <c r="G97" s="1026"/>
      <c r="H97" s="1026"/>
      <c r="I97" s="1026"/>
      <c r="J97" s="1026"/>
      <c r="K97" s="1026"/>
      <c r="L97" s="1026"/>
      <c r="M97" s="1026"/>
      <c r="N97" s="1026"/>
      <c r="O97" s="1026"/>
      <c r="P97" s="1026"/>
      <c r="Q97" s="1026"/>
      <c r="R97" s="1026"/>
      <c r="S97" s="1026"/>
      <c r="T97" s="1026"/>
      <c r="U97" s="1026"/>
      <c r="V97" s="1026"/>
      <c r="W97" s="1026"/>
      <c r="X97" s="1026"/>
      <c r="Y97" s="1026"/>
      <c r="Z97" s="1026"/>
    </row>
    <row r="98" spans="1:26">
      <c r="A98" s="1026"/>
      <c r="B98" s="1026"/>
      <c r="C98" s="1026"/>
      <c r="D98" s="1026"/>
      <c r="E98" s="1026"/>
      <c r="F98" s="1026"/>
      <c r="G98" s="1026"/>
      <c r="H98" s="1026"/>
      <c r="I98" s="1026"/>
      <c r="J98" s="1026"/>
      <c r="K98" s="1026"/>
      <c r="L98" s="1026"/>
      <c r="M98" s="1026"/>
      <c r="N98" s="1026"/>
      <c r="O98" s="1026"/>
      <c r="P98" s="1026"/>
      <c r="Q98" s="1026"/>
      <c r="R98" s="1026"/>
      <c r="S98" s="1026"/>
      <c r="T98" s="1026"/>
      <c r="U98" s="1026"/>
      <c r="V98" s="1026"/>
      <c r="W98" s="1026"/>
      <c r="X98" s="1026"/>
      <c r="Y98" s="1026"/>
      <c r="Z98" s="1026"/>
    </row>
    <row r="99" spans="1:26">
      <c r="A99" s="1026"/>
      <c r="B99" s="1026"/>
      <c r="C99" s="1026"/>
      <c r="D99" s="1026"/>
      <c r="E99" s="1026"/>
      <c r="F99" s="1026"/>
      <c r="G99" s="1026"/>
      <c r="H99" s="1026"/>
      <c r="I99" s="1026"/>
      <c r="J99" s="1026"/>
      <c r="K99" s="1026"/>
      <c r="L99" s="1026"/>
      <c r="M99" s="1026"/>
      <c r="N99" s="1026"/>
      <c r="O99" s="1026"/>
      <c r="P99" s="1026"/>
      <c r="Q99" s="1026"/>
      <c r="R99" s="1026"/>
      <c r="S99" s="1026"/>
      <c r="T99" s="1026"/>
      <c r="U99" s="1026"/>
      <c r="V99" s="1026"/>
      <c r="W99" s="1026"/>
      <c r="X99" s="1026"/>
      <c r="Y99" s="1026"/>
      <c r="Z99" s="1026"/>
    </row>
    <row r="100" spans="1:26">
      <c r="A100" s="1026"/>
      <c r="B100" s="1026"/>
      <c r="C100" s="1026"/>
      <c r="D100" s="1026"/>
      <c r="E100" s="1026"/>
      <c r="F100" s="1026"/>
      <c r="G100" s="1026"/>
      <c r="H100" s="1026"/>
      <c r="I100" s="1026"/>
      <c r="J100" s="1026"/>
      <c r="K100" s="1026"/>
      <c r="L100" s="1026"/>
      <c r="M100" s="1026"/>
      <c r="N100" s="1026"/>
      <c r="O100" s="1026"/>
      <c r="P100" s="1026"/>
      <c r="Q100" s="1026"/>
      <c r="R100" s="1026"/>
      <c r="S100" s="1026"/>
      <c r="T100" s="1026"/>
      <c r="U100" s="1026"/>
      <c r="V100" s="1026"/>
      <c r="W100" s="1026"/>
      <c r="X100" s="1026"/>
      <c r="Y100" s="1026"/>
      <c r="Z100" s="1026"/>
    </row>
    <row r="101" spans="1:26">
      <c r="A101" s="1026"/>
      <c r="B101" s="1026"/>
      <c r="C101" s="1026"/>
      <c r="D101" s="1026"/>
      <c r="E101" s="1026"/>
      <c r="F101" s="1026"/>
      <c r="G101" s="1026"/>
      <c r="H101" s="1026"/>
      <c r="I101" s="1026"/>
      <c r="J101" s="1026"/>
      <c r="K101" s="1026"/>
      <c r="L101" s="1026"/>
      <c r="M101" s="1026"/>
      <c r="N101" s="1026"/>
      <c r="O101" s="1026"/>
      <c r="P101" s="1026"/>
      <c r="Q101" s="1026"/>
      <c r="R101" s="1026"/>
      <c r="S101" s="1026"/>
      <c r="T101" s="1026"/>
      <c r="U101" s="1026"/>
      <c r="V101" s="1026"/>
      <c r="W101" s="1026"/>
      <c r="X101" s="1026"/>
      <c r="Y101" s="1026"/>
      <c r="Z101" s="1026"/>
    </row>
    <row r="102" spans="1:26">
      <c r="A102" s="1026"/>
      <c r="B102" s="1026"/>
      <c r="C102" s="1026"/>
      <c r="D102" s="1026"/>
      <c r="E102" s="1026"/>
      <c r="F102" s="1026"/>
      <c r="G102" s="1026"/>
      <c r="H102" s="1026"/>
      <c r="I102" s="1026"/>
      <c r="J102" s="1026"/>
      <c r="K102" s="1026"/>
      <c r="L102" s="1026"/>
      <c r="M102" s="1026"/>
      <c r="N102" s="1026"/>
      <c r="O102" s="1026"/>
      <c r="P102" s="1026"/>
      <c r="Q102" s="1026"/>
      <c r="R102" s="1026"/>
      <c r="S102" s="1026"/>
      <c r="T102" s="1026"/>
      <c r="U102" s="1026"/>
      <c r="V102" s="1026"/>
      <c r="W102" s="1026"/>
      <c r="X102" s="1026"/>
      <c r="Y102" s="1026"/>
      <c r="Z102" s="1026"/>
    </row>
    <row r="103" spans="1:26">
      <c r="A103" s="1026"/>
      <c r="B103" s="1026"/>
      <c r="C103" s="1026"/>
      <c r="D103" s="1026"/>
      <c r="E103" s="1026"/>
      <c r="F103" s="1026"/>
      <c r="G103" s="1026"/>
      <c r="H103" s="1026"/>
      <c r="I103" s="1026"/>
      <c r="J103" s="1026"/>
      <c r="K103" s="1026"/>
      <c r="L103" s="1026"/>
      <c r="M103" s="1026"/>
      <c r="N103" s="1026"/>
      <c r="O103" s="1026"/>
      <c r="P103" s="1026"/>
      <c r="Q103" s="1026"/>
      <c r="R103" s="1026"/>
      <c r="S103" s="1026"/>
      <c r="T103" s="1026"/>
      <c r="U103" s="1026"/>
      <c r="V103" s="1026"/>
      <c r="W103" s="1026"/>
      <c r="X103" s="1026"/>
      <c r="Y103" s="1026"/>
      <c r="Z103" s="1026"/>
    </row>
    <row r="104" spans="1:26">
      <c r="A104" s="1026"/>
      <c r="B104" s="1026"/>
      <c r="C104" s="1026"/>
      <c r="D104" s="1026"/>
      <c r="E104" s="1026"/>
      <c r="F104" s="1026"/>
      <c r="G104" s="1026"/>
      <c r="H104" s="1026"/>
      <c r="I104" s="1026"/>
      <c r="J104" s="1026"/>
      <c r="K104" s="1026"/>
      <c r="L104" s="1026"/>
      <c r="M104" s="1026"/>
      <c r="N104" s="1026"/>
      <c r="O104" s="1026"/>
      <c r="P104" s="1026"/>
      <c r="Q104" s="1026"/>
      <c r="R104" s="1026"/>
      <c r="S104" s="1026"/>
      <c r="T104" s="1026"/>
      <c r="U104" s="1026"/>
      <c r="V104" s="1026"/>
      <c r="W104" s="1026"/>
      <c r="X104" s="1026"/>
      <c r="Y104" s="1026"/>
      <c r="Z104" s="1026"/>
    </row>
    <row r="105" spans="1:26">
      <c r="A105" s="1026"/>
      <c r="B105" s="1026"/>
      <c r="C105" s="1026"/>
      <c r="D105" s="1026"/>
      <c r="E105" s="1026"/>
      <c r="F105" s="1026"/>
      <c r="G105" s="1026"/>
      <c r="H105" s="1026"/>
      <c r="I105" s="1026"/>
      <c r="J105" s="1026"/>
      <c r="K105" s="1026"/>
      <c r="L105" s="1026"/>
      <c r="M105" s="1026"/>
      <c r="N105" s="1026"/>
      <c r="O105" s="1026"/>
      <c r="P105" s="1026"/>
      <c r="Q105" s="1026"/>
      <c r="R105" s="1026"/>
      <c r="S105" s="1026"/>
      <c r="T105" s="1026"/>
      <c r="U105" s="1026"/>
      <c r="V105" s="1026"/>
      <c r="W105" s="1026"/>
      <c r="X105" s="1026"/>
      <c r="Y105" s="1026"/>
      <c r="Z105" s="1026"/>
    </row>
    <row r="106" spans="1:26">
      <c r="A106" s="1026"/>
      <c r="B106" s="1026"/>
      <c r="C106" s="1026"/>
      <c r="D106" s="1026"/>
      <c r="E106" s="1026"/>
      <c r="F106" s="1026"/>
      <c r="G106" s="1026"/>
      <c r="H106" s="1026"/>
      <c r="I106" s="1026"/>
      <c r="J106" s="1026"/>
      <c r="K106" s="1026"/>
      <c r="L106" s="1026"/>
      <c r="M106" s="1026"/>
      <c r="N106" s="1026"/>
      <c r="O106" s="1026"/>
      <c r="P106" s="1026"/>
      <c r="Q106" s="1026"/>
      <c r="R106" s="1026"/>
      <c r="S106" s="1026"/>
      <c r="T106" s="1026"/>
      <c r="U106" s="1026"/>
      <c r="V106" s="1026"/>
      <c r="W106" s="1026"/>
      <c r="X106" s="1026"/>
      <c r="Y106" s="1026"/>
      <c r="Z106" s="1026"/>
    </row>
    <row r="107" spans="1:26">
      <c r="A107" s="1026"/>
      <c r="B107" s="1026"/>
      <c r="C107" s="1026"/>
      <c r="D107" s="1026"/>
      <c r="E107" s="1026"/>
      <c r="F107" s="1026"/>
      <c r="G107" s="1026"/>
      <c r="H107" s="1026"/>
      <c r="I107" s="1026"/>
      <c r="J107" s="1026"/>
      <c r="K107" s="1026"/>
      <c r="L107" s="1026"/>
      <c r="M107" s="1026"/>
      <c r="N107" s="1026"/>
      <c r="O107" s="1026"/>
      <c r="P107" s="1026"/>
      <c r="Q107" s="1026"/>
      <c r="R107" s="1026"/>
      <c r="S107" s="1026"/>
      <c r="T107" s="1026"/>
      <c r="U107" s="1026"/>
      <c r="V107" s="1026"/>
      <c r="W107" s="1026"/>
      <c r="X107" s="1026"/>
      <c r="Y107" s="1026"/>
      <c r="Z107" s="1026"/>
    </row>
    <row r="108" spans="1:26">
      <c r="A108" s="1026"/>
      <c r="B108" s="1026"/>
      <c r="C108" s="1026"/>
      <c r="D108" s="1026"/>
      <c r="E108" s="1026"/>
      <c r="F108" s="1026"/>
      <c r="G108" s="1026"/>
      <c r="H108" s="1026"/>
      <c r="I108" s="1026"/>
      <c r="J108" s="1026"/>
      <c r="K108" s="1026"/>
      <c r="L108" s="1026"/>
      <c r="M108" s="1026"/>
      <c r="N108" s="1026"/>
      <c r="O108" s="1026"/>
      <c r="P108" s="1026"/>
      <c r="Q108" s="1026"/>
      <c r="R108" s="1026"/>
      <c r="S108" s="1026"/>
      <c r="T108" s="1026"/>
      <c r="U108" s="1026"/>
      <c r="V108" s="1026"/>
      <c r="W108" s="1026"/>
      <c r="X108" s="1026"/>
      <c r="Y108" s="1026"/>
      <c r="Z108" s="1026"/>
    </row>
    <row r="109" spans="1:26">
      <c r="A109" s="1026"/>
      <c r="B109" s="1026"/>
      <c r="C109" s="1026"/>
      <c r="D109" s="1026"/>
      <c r="E109" s="1026"/>
      <c r="F109" s="1026"/>
      <c r="G109" s="1026"/>
      <c r="H109" s="1026"/>
      <c r="I109" s="1026"/>
      <c r="J109" s="1026"/>
      <c r="K109" s="1026"/>
      <c r="L109" s="1026"/>
      <c r="M109" s="1026"/>
      <c r="N109" s="1026"/>
      <c r="O109" s="1026"/>
      <c r="P109" s="1026"/>
      <c r="Q109" s="1026"/>
      <c r="R109" s="1026"/>
      <c r="S109" s="1026"/>
      <c r="T109" s="1026"/>
      <c r="U109" s="1026"/>
      <c r="V109" s="1026"/>
      <c r="W109" s="1026"/>
      <c r="X109" s="1026"/>
      <c r="Y109" s="1026"/>
      <c r="Z109" s="1026"/>
    </row>
    <row r="110" spans="1:26">
      <c r="A110" s="1026"/>
      <c r="B110" s="1026"/>
      <c r="C110" s="1026"/>
      <c r="D110" s="1026"/>
      <c r="E110" s="1026"/>
      <c r="F110" s="1026"/>
      <c r="G110" s="1026"/>
      <c r="H110" s="1026"/>
      <c r="I110" s="1026"/>
      <c r="J110" s="1026"/>
      <c r="K110" s="1026"/>
      <c r="L110" s="1026"/>
      <c r="M110" s="1026"/>
      <c r="N110" s="1026"/>
      <c r="O110" s="1026"/>
      <c r="P110" s="1026"/>
      <c r="Q110" s="1026"/>
      <c r="R110" s="1026"/>
      <c r="S110" s="1026"/>
      <c r="T110" s="1026"/>
      <c r="U110" s="1026"/>
      <c r="V110" s="1026"/>
      <c r="W110" s="1026"/>
      <c r="X110" s="1026"/>
      <c r="Y110" s="1026"/>
      <c r="Z110" s="1026"/>
    </row>
    <row r="111" spans="1:26">
      <c r="A111" s="1026"/>
      <c r="B111" s="1026"/>
      <c r="C111" s="1026"/>
      <c r="D111" s="1026"/>
      <c r="E111" s="1026"/>
      <c r="F111" s="1026"/>
      <c r="G111" s="1026"/>
      <c r="H111" s="1026"/>
      <c r="I111" s="1026"/>
      <c r="J111" s="1026"/>
      <c r="K111" s="1026"/>
      <c r="L111" s="1026"/>
      <c r="M111" s="1026"/>
      <c r="N111" s="1026"/>
      <c r="O111" s="1026"/>
      <c r="P111" s="1026"/>
      <c r="Q111" s="1026"/>
      <c r="R111" s="1026"/>
      <c r="S111" s="1026"/>
      <c r="T111" s="1026"/>
      <c r="U111" s="1026"/>
      <c r="V111" s="1026"/>
      <c r="W111" s="1026"/>
      <c r="X111" s="1026"/>
      <c r="Y111" s="1026"/>
      <c r="Z111" s="1026"/>
    </row>
    <row r="112" spans="1:26">
      <c r="A112" s="1026"/>
      <c r="B112" s="1026"/>
      <c r="C112" s="1026"/>
      <c r="D112" s="1026"/>
      <c r="E112" s="1026"/>
      <c r="F112" s="1026"/>
      <c r="G112" s="1026"/>
      <c r="H112" s="1026"/>
      <c r="I112" s="1026"/>
      <c r="J112" s="1026"/>
      <c r="K112" s="1026"/>
      <c r="L112" s="1026"/>
      <c r="M112" s="1026"/>
      <c r="N112" s="1026"/>
      <c r="O112" s="1026"/>
      <c r="P112" s="1026"/>
      <c r="Q112" s="1026"/>
      <c r="R112" s="1026"/>
      <c r="S112" s="1026"/>
      <c r="T112" s="1026"/>
      <c r="U112" s="1026"/>
      <c r="V112" s="1026"/>
      <c r="W112" s="1026"/>
      <c r="X112" s="1026"/>
      <c r="Y112" s="1026"/>
      <c r="Z112" s="1026"/>
    </row>
    <row r="113" spans="1:26">
      <c r="A113" s="1026"/>
      <c r="B113" s="1026"/>
      <c r="C113" s="1026"/>
      <c r="D113" s="1026"/>
      <c r="E113" s="1026"/>
      <c r="F113" s="1026"/>
      <c r="G113" s="1026"/>
      <c r="H113" s="1026"/>
      <c r="I113" s="1026"/>
      <c r="J113" s="1026"/>
      <c r="K113" s="1026"/>
      <c r="L113" s="1026"/>
      <c r="M113" s="1026"/>
      <c r="N113" s="1026"/>
      <c r="O113" s="1026"/>
      <c r="P113" s="1026"/>
      <c r="Q113" s="1026"/>
      <c r="R113" s="1026"/>
      <c r="S113" s="1026"/>
      <c r="T113" s="1026"/>
      <c r="U113" s="1026"/>
      <c r="V113" s="1026"/>
      <c r="W113" s="1026"/>
      <c r="X113" s="1026"/>
      <c r="Y113" s="1026"/>
      <c r="Z113" s="1026"/>
    </row>
    <row r="114" spans="1:26">
      <c r="A114" s="1026"/>
      <c r="B114" s="1026"/>
      <c r="C114" s="1026"/>
      <c r="D114" s="1026"/>
      <c r="E114" s="1026"/>
      <c r="F114" s="1026"/>
      <c r="G114" s="1026"/>
      <c r="H114" s="1026"/>
      <c r="I114" s="1026"/>
      <c r="J114" s="1026"/>
      <c r="K114" s="1026"/>
      <c r="L114" s="1026"/>
      <c r="M114" s="1026"/>
      <c r="N114" s="1026"/>
      <c r="O114" s="1026"/>
      <c r="P114" s="1026"/>
      <c r="Q114" s="1026"/>
      <c r="R114" s="1026"/>
      <c r="S114" s="1026"/>
      <c r="T114" s="1026"/>
      <c r="U114" s="1026"/>
      <c r="V114" s="1026"/>
      <c r="W114" s="1026"/>
      <c r="X114" s="1026"/>
      <c r="Y114" s="1026"/>
      <c r="Z114" s="1026"/>
    </row>
    <row r="115" spans="1:26">
      <c r="A115" s="1026"/>
      <c r="B115" s="1026"/>
      <c r="C115" s="1026"/>
      <c r="D115" s="1026"/>
      <c r="E115" s="1026"/>
      <c r="F115" s="1026"/>
      <c r="G115" s="1026"/>
      <c r="H115" s="1026"/>
      <c r="I115" s="1026"/>
      <c r="J115" s="1026"/>
      <c r="K115" s="1026"/>
      <c r="L115" s="1026"/>
      <c r="M115" s="1026"/>
      <c r="N115" s="1026"/>
      <c r="O115" s="1026"/>
      <c r="P115" s="1026"/>
      <c r="Q115" s="1026"/>
      <c r="R115" s="1026"/>
      <c r="S115" s="1026"/>
      <c r="T115" s="1026"/>
      <c r="U115" s="1026"/>
      <c r="V115" s="1026"/>
      <c r="W115" s="1026"/>
      <c r="X115" s="1026"/>
      <c r="Y115" s="1026"/>
      <c r="Z115" s="1026"/>
    </row>
    <row r="116" spans="1:26">
      <c r="A116" s="1026"/>
      <c r="B116" s="1026"/>
      <c r="C116" s="1026"/>
      <c r="D116" s="1026"/>
      <c r="E116" s="1026"/>
      <c r="F116" s="1026"/>
      <c r="G116" s="1026"/>
      <c r="H116" s="1026"/>
      <c r="I116" s="1026"/>
      <c r="J116" s="1026"/>
      <c r="K116" s="1026"/>
      <c r="L116" s="1026"/>
      <c r="M116" s="1026"/>
      <c r="N116" s="1026"/>
      <c r="O116" s="1026"/>
      <c r="P116" s="1026"/>
      <c r="Q116" s="1026"/>
      <c r="R116" s="1026"/>
      <c r="S116" s="1026"/>
      <c r="T116" s="1026"/>
      <c r="U116" s="1026"/>
      <c r="V116" s="1026"/>
      <c r="W116" s="1026"/>
      <c r="X116" s="1026"/>
      <c r="Y116" s="1026"/>
      <c r="Z116" s="1026"/>
    </row>
    <row r="117" spans="1:26">
      <c r="A117" s="1026"/>
      <c r="B117" s="1026"/>
      <c r="C117" s="1026"/>
      <c r="D117" s="1026"/>
      <c r="E117" s="1026"/>
      <c r="F117" s="1026"/>
      <c r="G117" s="1026"/>
      <c r="H117" s="1026"/>
      <c r="I117" s="1026"/>
      <c r="J117" s="1026"/>
      <c r="K117" s="1026"/>
      <c r="L117" s="1026"/>
      <c r="M117" s="1026"/>
      <c r="N117" s="1026"/>
      <c r="O117" s="1026"/>
      <c r="P117" s="1026"/>
      <c r="Q117" s="1026"/>
      <c r="R117" s="1026"/>
      <c r="S117" s="1026"/>
      <c r="T117" s="1026"/>
      <c r="U117" s="1026"/>
      <c r="V117" s="1026"/>
      <c r="W117" s="1026"/>
      <c r="X117" s="1026"/>
      <c r="Y117" s="1026"/>
      <c r="Z117" s="1026"/>
    </row>
    <row r="118" spans="1:26">
      <c r="A118" s="1026"/>
      <c r="B118" s="1026"/>
      <c r="C118" s="1026"/>
      <c r="D118" s="1026"/>
      <c r="E118" s="1026"/>
      <c r="F118" s="1026"/>
      <c r="G118" s="1026"/>
      <c r="H118" s="1026"/>
      <c r="I118" s="1026"/>
      <c r="J118" s="1026"/>
      <c r="K118" s="1026"/>
      <c r="L118" s="1026"/>
      <c r="M118" s="1026"/>
      <c r="N118" s="1026"/>
      <c r="O118" s="1026"/>
      <c r="P118" s="1026"/>
      <c r="Q118" s="1026"/>
      <c r="R118" s="1026"/>
      <c r="S118" s="1026"/>
      <c r="T118" s="1026"/>
      <c r="U118" s="1026"/>
      <c r="V118" s="1026"/>
      <c r="W118" s="1026"/>
      <c r="X118" s="1026"/>
      <c r="Y118" s="1026"/>
      <c r="Z118" s="1026"/>
    </row>
    <row r="119" spans="1:26">
      <c r="A119" s="1026"/>
      <c r="B119" s="1026"/>
      <c r="C119" s="1026"/>
      <c r="D119" s="1026"/>
      <c r="E119" s="1026"/>
      <c r="F119" s="1026"/>
      <c r="G119" s="1026"/>
      <c r="H119" s="1026"/>
      <c r="I119" s="1026"/>
      <c r="J119" s="1026"/>
      <c r="K119" s="1026"/>
      <c r="L119" s="1026"/>
      <c r="M119" s="1026"/>
      <c r="N119" s="1026"/>
      <c r="O119" s="1026"/>
      <c r="P119" s="1026"/>
      <c r="Q119" s="1026"/>
      <c r="R119" s="1026"/>
      <c r="S119" s="1026"/>
      <c r="T119" s="1026"/>
      <c r="U119" s="1026"/>
      <c r="V119" s="1026"/>
      <c r="W119" s="1026"/>
      <c r="X119" s="1026"/>
      <c r="Y119" s="1026"/>
      <c r="Z119" s="1026"/>
    </row>
    <row r="120" spans="1:26">
      <c r="A120" s="1026"/>
      <c r="B120" s="1026"/>
      <c r="C120" s="1026"/>
      <c r="D120" s="1026"/>
      <c r="E120" s="1026"/>
      <c r="F120" s="1026"/>
      <c r="G120" s="1026"/>
      <c r="H120" s="1026"/>
      <c r="I120" s="1026"/>
      <c r="J120" s="1026"/>
      <c r="K120" s="1026"/>
      <c r="L120" s="1026"/>
      <c r="M120" s="1026"/>
      <c r="N120" s="1026"/>
      <c r="O120" s="1026"/>
      <c r="P120" s="1026"/>
      <c r="Q120" s="1026"/>
      <c r="R120" s="1026"/>
      <c r="S120" s="1026"/>
      <c r="T120" s="1026"/>
      <c r="U120" s="1026"/>
      <c r="V120" s="1026"/>
      <c r="W120" s="1026"/>
      <c r="X120" s="1026"/>
      <c r="Y120" s="1026"/>
      <c r="Z120" s="1026"/>
    </row>
    <row r="121" spans="1:26">
      <c r="A121" s="1026"/>
      <c r="B121" s="1026"/>
      <c r="C121" s="1026"/>
      <c r="D121" s="1026"/>
      <c r="E121" s="1026"/>
      <c r="F121" s="1026"/>
      <c r="G121" s="1026"/>
      <c r="H121" s="1026"/>
      <c r="I121" s="1026"/>
      <c r="J121" s="1026"/>
      <c r="K121" s="1026"/>
      <c r="L121" s="1026"/>
      <c r="M121" s="1026"/>
      <c r="N121" s="1026"/>
      <c r="O121" s="1026"/>
      <c r="P121" s="1026"/>
      <c r="Q121" s="1026"/>
      <c r="R121" s="1026"/>
      <c r="S121" s="1026"/>
      <c r="T121" s="1026"/>
      <c r="U121" s="1026"/>
      <c r="V121" s="1026"/>
      <c r="W121" s="1026"/>
      <c r="X121" s="1026"/>
      <c r="Y121" s="1026"/>
      <c r="Z121" s="1026"/>
    </row>
    <row r="122" spans="1:26">
      <c r="A122" s="1026"/>
      <c r="B122" s="1026"/>
      <c r="C122" s="1026"/>
      <c r="D122" s="1026"/>
      <c r="E122" s="1026"/>
      <c r="F122" s="1026"/>
      <c r="G122" s="1026"/>
      <c r="H122" s="1026"/>
      <c r="I122" s="1026"/>
      <c r="J122" s="1026"/>
      <c r="K122" s="1026"/>
      <c r="L122" s="1026"/>
      <c r="M122" s="1026"/>
      <c r="N122" s="1026"/>
      <c r="O122" s="1026"/>
      <c r="P122" s="1026"/>
      <c r="Q122" s="1026"/>
      <c r="R122" s="1026"/>
      <c r="S122" s="1026"/>
      <c r="T122" s="1026"/>
      <c r="U122" s="1026"/>
      <c r="V122" s="1026"/>
      <c r="W122" s="1026"/>
      <c r="X122" s="1026"/>
      <c r="Y122" s="1026"/>
      <c r="Z122" s="1026"/>
    </row>
    <row r="123" spans="1:26">
      <c r="A123" s="1026"/>
      <c r="B123" s="1026"/>
      <c r="C123" s="1026"/>
      <c r="D123" s="1026"/>
      <c r="E123" s="1026"/>
      <c r="F123" s="1026"/>
      <c r="G123" s="1026"/>
      <c r="H123" s="1026"/>
      <c r="I123" s="1026"/>
      <c r="J123" s="1026"/>
      <c r="K123" s="1026"/>
      <c r="L123" s="1026"/>
      <c r="M123" s="1026"/>
      <c r="N123" s="1026"/>
      <c r="O123" s="1026"/>
      <c r="P123" s="1026"/>
      <c r="Q123" s="1026"/>
      <c r="R123" s="1026"/>
      <c r="S123" s="1026"/>
      <c r="T123" s="1026"/>
      <c r="U123" s="1026"/>
      <c r="V123" s="1026"/>
      <c r="W123" s="1026"/>
      <c r="X123" s="1026"/>
      <c r="Y123" s="1026"/>
      <c r="Z123" s="1026"/>
    </row>
    <row r="124" spans="1:26">
      <c r="A124" s="1026"/>
      <c r="B124" s="1026"/>
      <c r="C124" s="1026"/>
      <c r="D124" s="1026"/>
      <c r="E124" s="1026"/>
      <c r="F124" s="1026"/>
      <c r="G124" s="1026"/>
      <c r="H124" s="1026"/>
      <c r="I124" s="1026"/>
      <c r="J124" s="1026"/>
      <c r="K124" s="1026"/>
      <c r="L124" s="1026"/>
      <c r="M124" s="1026"/>
      <c r="N124" s="1026"/>
      <c r="O124" s="1026"/>
      <c r="P124" s="1026"/>
      <c r="Q124" s="1026"/>
      <c r="R124" s="1026"/>
      <c r="S124" s="1026"/>
      <c r="T124" s="1026"/>
      <c r="U124" s="1026"/>
      <c r="V124" s="1026"/>
      <c r="W124" s="1026"/>
      <c r="X124" s="1026"/>
      <c r="Y124" s="1026"/>
      <c r="Z124" s="1026"/>
    </row>
    <row r="125" spans="1:26">
      <c r="A125" s="1026"/>
      <c r="B125" s="1026"/>
      <c r="C125" s="1026"/>
      <c r="D125" s="1026"/>
      <c r="E125" s="1026"/>
      <c r="F125" s="1026"/>
      <c r="G125" s="1026"/>
      <c r="H125" s="1026"/>
      <c r="I125" s="1026"/>
      <c r="J125" s="1026"/>
      <c r="K125" s="1026"/>
      <c r="L125" s="1026"/>
      <c r="M125" s="1026"/>
      <c r="N125" s="1026"/>
      <c r="O125" s="1026"/>
      <c r="P125" s="1026"/>
      <c r="Q125" s="1026"/>
      <c r="R125" s="1026"/>
      <c r="S125" s="1026"/>
      <c r="T125" s="1026"/>
      <c r="U125" s="1026"/>
      <c r="V125" s="1026"/>
      <c r="W125" s="1026"/>
      <c r="X125" s="1026"/>
      <c r="Y125" s="1026"/>
      <c r="Z125" s="1026"/>
    </row>
    <row r="126" spans="1:26">
      <c r="A126" s="1026"/>
      <c r="B126" s="1026"/>
      <c r="C126" s="1026"/>
      <c r="D126" s="1026"/>
      <c r="E126" s="1026"/>
      <c r="F126" s="1026"/>
      <c r="G126" s="1026"/>
      <c r="H126" s="1026"/>
      <c r="I126" s="1026"/>
      <c r="J126" s="1026"/>
      <c r="K126" s="1026"/>
      <c r="L126" s="1026"/>
      <c r="M126" s="1026"/>
      <c r="N126" s="1026"/>
      <c r="O126" s="1026"/>
      <c r="P126" s="1026"/>
      <c r="Q126" s="1026"/>
      <c r="R126" s="1026"/>
      <c r="S126" s="1026"/>
      <c r="T126" s="1026"/>
      <c r="U126" s="1026"/>
      <c r="V126" s="1026"/>
      <c r="W126" s="1026"/>
      <c r="X126" s="1026"/>
      <c r="Y126" s="1026"/>
      <c r="Z126" s="1026"/>
    </row>
    <row r="127" spans="1:26">
      <c r="A127" s="1026"/>
      <c r="B127" s="1026"/>
      <c r="C127" s="1026"/>
      <c r="D127" s="1026"/>
      <c r="E127" s="1026"/>
      <c r="F127" s="1026"/>
      <c r="G127" s="1026"/>
      <c r="H127" s="1026"/>
      <c r="I127" s="1026"/>
      <c r="J127" s="1026"/>
      <c r="K127" s="1026"/>
      <c r="L127" s="1026"/>
      <c r="M127" s="1026"/>
      <c r="N127" s="1026"/>
      <c r="O127" s="1026"/>
      <c r="P127" s="1026"/>
      <c r="Q127" s="1026"/>
      <c r="R127" s="1026"/>
      <c r="S127" s="1026"/>
      <c r="T127" s="1026"/>
      <c r="U127" s="1026"/>
      <c r="V127" s="1026"/>
      <c r="W127" s="1026"/>
      <c r="X127" s="1026"/>
      <c r="Y127" s="1026"/>
      <c r="Z127" s="1026"/>
    </row>
    <row r="128" spans="1:26">
      <c r="A128" s="1026"/>
      <c r="B128" s="1026"/>
      <c r="C128" s="1026"/>
      <c r="D128" s="1026"/>
      <c r="E128" s="1026"/>
      <c r="F128" s="1026"/>
      <c r="G128" s="1026"/>
      <c r="H128" s="1026"/>
      <c r="I128" s="1026"/>
      <c r="J128" s="1026"/>
      <c r="K128" s="1026"/>
      <c r="L128" s="1026"/>
      <c r="M128" s="1026"/>
      <c r="N128" s="1026"/>
      <c r="O128" s="1026"/>
      <c r="P128" s="1026"/>
      <c r="Q128" s="1026"/>
      <c r="R128" s="1026"/>
      <c r="S128" s="1026"/>
      <c r="T128" s="1026"/>
      <c r="U128" s="1026"/>
      <c r="V128" s="1026"/>
      <c r="W128" s="1026"/>
      <c r="X128" s="1026"/>
      <c r="Y128" s="1026"/>
      <c r="Z128" s="1026"/>
    </row>
    <row r="129" spans="1:26">
      <c r="A129" s="1026"/>
      <c r="B129" s="1026"/>
      <c r="C129" s="1026"/>
      <c r="D129" s="1026"/>
      <c r="E129" s="1026"/>
      <c r="F129" s="1026"/>
      <c r="G129" s="1026"/>
      <c r="H129" s="1026"/>
      <c r="I129" s="1026"/>
      <c r="J129" s="1026"/>
      <c r="K129" s="1026"/>
      <c r="L129" s="1026"/>
      <c r="M129" s="1026"/>
      <c r="N129" s="1026"/>
      <c r="O129" s="1026"/>
      <c r="P129" s="1026"/>
      <c r="Q129" s="1026"/>
      <c r="R129" s="1026"/>
      <c r="S129" s="1026"/>
      <c r="T129" s="1026"/>
      <c r="U129" s="1026"/>
      <c r="V129" s="1026"/>
      <c r="W129" s="1026"/>
      <c r="X129" s="1026"/>
      <c r="Y129" s="1026"/>
      <c r="Z129" s="1026"/>
    </row>
    <row r="130" spans="1:26">
      <c r="A130" s="1026"/>
      <c r="B130" s="1026"/>
      <c r="C130" s="1026"/>
      <c r="D130" s="1026"/>
      <c r="E130" s="1026"/>
      <c r="F130" s="1026"/>
      <c r="G130" s="1026"/>
      <c r="H130" s="1026"/>
      <c r="I130" s="1026"/>
      <c r="J130" s="1026"/>
      <c r="K130" s="1026"/>
      <c r="L130" s="1026"/>
      <c r="M130" s="1026"/>
      <c r="N130" s="1026"/>
      <c r="O130" s="1026"/>
      <c r="P130" s="1026"/>
      <c r="Q130" s="1026"/>
      <c r="R130" s="1026"/>
      <c r="S130" s="1026"/>
      <c r="T130" s="1026"/>
      <c r="U130" s="1026"/>
      <c r="V130" s="1026"/>
      <c r="W130" s="1026"/>
      <c r="X130" s="1026"/>
      <c r="Y130" s="1026"/>
      <c r="Z130" s="1026"/>
    </row>
    <row r="131" spans="1:26">
      <c r="A131" s="1026"/>
      <c r="B131" s="1026"/>
      <c r="C131" s="1026"/>
      <c r="D131" s="1026"/>
      <c r="E131" s="1026"/>
      <c r="F131" s="1026"/>
      <c r="G131" s="1026"/>
      <c r="H131" s="1026"/>
      <c r="I131" s="1026"/>
      <c r="J131" s="1026"/>
      <c r="K131" s="1026"/>
      <c r="L131" s="1026"/>
      <c r="M131" s="1026"/>
      <c r="N131" s="1026"/>
      <c r="O131" s="1026"/>
      <c r="P131" s="1026"/>
      <c r="Q131" s="1026"/>
      <c r="R131" s="1026"/>
      <c r="S131" s="1026"/>
      <c r="T131" s="1026"/>
      <c r="U131" s="1026"/>
      <c r="V131" s="1026"/>
      <c r="W131" s="1026"/>
      <c r="X131" s="1026"/>
      <c r="Y131" s="1026"/>
      <c r="Z131" s="1026"/>
    </row>
    <row r="132" spans="1:26">
      <c r="A132" s="1026"/>
      <c r="B132" s="1026"/>
      <c r="C132" s="1026"/>
      <c r="D132" s="1026"/>
      <c r="E132" s="1026"/>
      <c r="F132" s="1026"/>
      <c r="G132" s="1026"/>
      <c r="H132" s="1026"/>
      <c r="I132" s="1026"/>
      <c r="J132" s="1026"/>
      <c r="K132" s="1026"/>
      <c r="L132" s="1026"/>
      <c r="M132" s="1026"/>
      <c r="N132" s="1026"/>
      <c r="O132" s="1026"/>
      <c r="P132" s="1026"/>
      <c r="Q132" s="1026"/>
      <c r="R132" s="1026"/>
      <c r="S132" s="1026"/>
      <c r="T132" s="1026"/>
      <c r="U132" s="1026"/>
      <c r="V132" s="1026"/>
      <c r="W132" s="1026"/>
      <c r="X132" s="1026"/>
      <c r="Y132" s="1026"/>
      <c r="Z132" s="1026"/>
    </row>
    <row r="133" spans="1:26">
      <c r="A133" s="1026"/>
      <c r="B133" s="1026"/>
      <c r="C133" s="1026"/>
      <c r="D133" s="1026"/>
      <c r="E133" s="1026"/>
      <c r="F133" s="1026"/>
      <c r="G133" s="1026"/>
      <c r="H133" s="1026"/>
      <c r="I133" s="1026"/>
      <c r="J133" s="1026"/>
      <c r="K133" s="1026"/>
      <c r="L133" s="1026"/>
      <c r="M133" s="1026"/>
      <c r="N133" s="1026"/>
      <c r="O133" s="1026"/>
      <c r="P133" s="1026"/>
      <c r="Q133" s="1026"/>
      <c r="R133" s="1026"/>
      <c r="S133" s="1026"/>
      <c r="T133" s="1026"/>
      <c r="U133" s="1026"/>
      <c r="V133" s="1026"/>
      <c r="W133" s="1026"/>
      <c r="X133" s="1026"/>
      <c r="Y133" s="1026"/>
      <c r="Z133" s="1026"/>
    </row>
    <row r="134" spans="1:26">
      <c r="A134" s="1026"/>
      <c r="B134" s="1026"/>
      <c r="C134" s="1026"/>
      <c r="D134" s="1026"/>
      <c r="E134" s="1026"/>
      <c r="F134" s="1026"/>
      <c r="G134" s="1026"/>
      <c r="H134" s="1026"/>
      <c r="I134" s="1026"/>
      <c r="J134" s="1026"/>
      <c r="K134" s="1026"/>
      <c r="L134" s="1026"/>
      <c r="M134" s="1026"/>
      <c r="N134" s="1026"/>
      <c r="O134" s="1026"/>
      <c r="P134" s="1026"/>
      <c r="Q134" s="1026"/>
      <c r="R134" s="1026"/>
      <c r="S134" s="1026"/>
      <c r="T134" s="1026"/>
      <c r="U134" s="1026"/>
      <c r="V134" s="1026"/>
      <c r="W134" s="1026"/>
      <c r="X134" s="1026"/>
      <c r="Y134" s="1026"/>
      <c r="Z134" s="1026"/>
    </row>
    <row r="135" spans="1:26">
      <c r="A135" s="1026"/>
      <c r="B135" s="1026"/>
      <c r="C135" s="1026"/>
      <c r="D135" s="1026"/>
      <c r="E135" s="1026"/>
      <c r="F135" s="1026"/>
      <c r="G135" s="1026"/>
      <c r="H135" s="1026"/>
      <c r="I135" s="1026"/>
      <c r="J135" s="1026"/>
      <c r="K135" s="1026"/>
      <c r="L135" s="1026"/>
      <c r="M135" s="1026"/>
      <c r="N135" s="1026"/>
      <c r="O135" s="1026"/>
      <c r="P135" s="1026"/>
      <c r="Q135" s="1026"/>
      <c r="R135" s="1026"/>
      <c r="S135" s="1026"/>
      <c r="T135" s="1026"/>
      <c r="U135" s="1026"/>
      <c r="V135" s="1026"/>
      <c r="W135" s="1026"/>
      <c r="X135" s="1026"/>
      <c r="Y135" s="1026"/>
      <c r="Z135" s="1026"/>
    </row>
    <row r="136" spans="1:26">
      <c r="A136" s="1026"/>
      <c r="B136" s="1026"/>
      <c r="C136" s="1026"/>
      <c r="D136" s="1026"/>
      <c r="E136" s="1026"/>
      <c r="F136" s="1026"/>
      <c r="G136" s="1026"/>
      <c r="H136" s="1026"/>
      <c r="I136" s="1026"/>
      <c r="J136" s="1026"/>
      <c r="K136" s="1026"/>
      <c r="L136" s="1026"/>
      <c r="M136" s="1026"/>
      <c r="N136" s="1026"/>
      <c r="O136" s="1026"/>
      <c r="P136" s="1026"/>
      <c r="Q136" s="1026"/>
      <c r="R136" s="1026"/>
      <c r="S136" s="1026"/>
      <c r="T136" s="1026"/>
      <c r="U136" s="1026"/>
      <c r="V136" s="1026"/>
      <c r="W136" s="1026"/>
      <c r="X136" s="1026"/>
      <c r="Y136" s="1026"/>
      <c r="Z136" s="1026"/>
    </row>
    <row r="137" spans="1:26">
      <c r="A137" s="1026"/>
      <c r="B137" s="1026"/>
      <c r="C137" s="1026"/>
      <c r="D137" s="1026"/>
      <c r="E137" s="1026"/>
      <c r="F137" s="1026"/>
      <c r="G137" s="1026"/>
      <c r="H137" s="1026"/>
      <c r="I137" s="1026"/>
      <c r="J137" s="1026"/>
      <c r="K137" s="1026"/>
      <c r="L137" s="1026"/>
      <c r="M137" s="1026"/>
      <c r="N137" s="1026"/>
      <c r="O137" s="1026"/>
      <c r="P137" s="1026"/>
      <c r="Q137" s="1026"/>
      <c r="R137" s="1026"/>
      <c r="S137" s="1026"/>
      <c r="T137" s="1026"/>
      <c r="U137" s="1026"/>
      <c r="V137" s="1026"/>
      <c r="W137" s="1026"/>
      <c r="X137" s="1026"/>
      <c r="Y137" s="1026"/>
      <c r="Z137" s="1026"/>
    </row>
    <row r="138" spans="1:26">
      <c r="A138" s="1026"/>
      <c r="B138" s="1026"/>
      <c r="C138" s="1026"/>
      <c r="D138" s="1026"/>
      <c r="E138" s="1026"/>
      <c r="F138" s="1026"/>
      <c r="G138" s="1026"/>
      <c r="H138" s="1026"/>
      <c r="I138" s="1026"/>
      <c r="J138" s="1026"/>
      <c r="K138" s="1026"/>
      <c r="L138" s="1026"/>
      <c r="M138" s="1026"/>
      <c r="N138" s="1026"/>
      <c r="O138" s="1026"/>
      <c r="P138" s="1026"/>
      <c r="Q138" s="1026"/>
      <c r="R138" s="1026"/>
      <c r="S138" s="1026"/>
      <c r="T138" s="1026"/>
      <c r="U138" s="1026"/>
      <c r="V138" s="1026"/>
      <c r="W138" s="1026"/>
      <c r="X138" s="1026"/>
      <c r="Y138" s="1026"/>
      <c r="Z138" s="1026"/>
    </row>
    <row r="139" spans="1:26">
      <c r="A139" s="1026"/>
      <c r="B139" s="1026"/>
      <c r="C139" s="1026"/>
      <c r="D139" s="1026"/>
      <c r="E139" s="1026"/>
      <c r="F139" s="1026"/>
      <c r="G139" s="1026"/>
      <c r="H139" s="1026"/>
      <c r="I139" s="1026"/>
      <c r="J139" s="1026"/>
      <c r="K139" s="1026"/>
      <c r="L139" s="1026"/>
      <c r="M139" s="1026"/>
      <c r="N139" s="1026"/>
      <c r="O139" s="1026"/>
      <c r="P139" s="1026"/>
      <c r="Q139" s="1026"/>
      <c r="R139" s="1026"/>
      <c r="S139" s="1026"/>
      <c r="T139" s="1026"/>
      <c r="U139" s="1026"/>
      <c r="V139" s="1026"/>
      <c r="W139" s="1026"/>
      <c r="X139" s="1026"/>
      <c r="Y139" s="1026"/>
      <c r="Z139" s="1026"/>
    </row>
    <row r="140" spans="1:26">
      <c r="A140" s="1026"/>
      <c r="B140" s="1026"/>
      <c r="C140" s="1026"/>
      <c r="D140" s="1026"/>
      <c r="E140" s="1026"/>
      <c r="F140" s="1026"/>
      <c r="G140" s="1026"/>
      <c r="H140" s="1026"/>
      <c r="I140" s="1026"/>
      <c r="J140" s="1026"/>
      <c r="K140" s="1026"/>
      <c r="L140" s="1026"/>
      <c r="M140" s="1026"/>
      <c r="N140" s="1026"/>
      <c r="O140" s="1026"/>
      <c r="P140" s="1026"/>
      <c r="Q140" s="1026"/>
      <c r="R140" s="1026"/>
      <c r="S140" s="1026"/>
      <c r="T140" s="1026"/>
      <c r="U140" s="1026"/>
      <c r="V140" s="1026"/>
      <c r="W140" s="1026"/>
      <c r="X140" s="1026"/>
      <c r="Y140" s="1026"/>
      <c r="Z140" s="1026"/>
    </row>
    <row r="141" spans="1:26">
      <c r="A141" s="1026"/>
      <c r="B141" s="1026"/>
      <c r="C141" s="1026"/>
      <c r="D141" s="1026"/>
      <c r="E141" s="1026"/>
      <c r="F141" s="1026"/>
      <c r="G141" s="1026"/>
      <c r="H141" s="1026"/>
      <c r="I141" s="1026"/>
      <c r="J141" s="1026"/>
      <c r="K141" s="1026"/>
      <c r="L141" s="1026"/>
      <c r="M141" s="1026"/>
      <c r="N141" s="1026"/>
      <c r="O141" s="1026"/>
      <c r="P141" s="1026"/>
      <c r="Q141" s="1026"/>
      <c r="R141" s="1026"/>
      <c r="S141" s="1026"/>
      <c r="T141" s="1026"/>
      <c r="U141" s="1026"/>
      <c r="V141" s="1026"/>
      <c r="W141" s="1026"/>
      <c r="X141" s="1026"/>
      <c r="Y141" s="1026"/>
      <c r="Z141" s="1026"/>
    </row>
    <row r="142" spans="1:26">
      <c r="A142" s="1026"/>
      <c r="B142" s="1026"/>
      <c r="C142" s="1026"/>
      <c r="D142" s="1026"/>
      <c r="E142" s="1026"/>
      <c r="F142" s="1026"/>
      <c r="G142" s="1026"/>
      <c r="H142" s="1026"/>
      <c r="I142" s="1026"/>
      <c r="J142" s="1026"/>
      <c r="K142" s="1026"/>
      <c r="L142" s="1026"/>
      <c r="M142" s="1026"/>
      <c r="N142" s="1026"/>
      <c r="O142" s="1026"/>
      <c r="P142" s="1026"/>
      <c r="Q142" s="1026"/>
      <c r="R142" s="1026"/>
      <c r="S142" s="1026"/>
      <c r="T142" s="1026"/>
      <c r="U142" s="1026"/>
      <c r="V142" s="1026"/>
      <c r="W142" s="1026"/>
      <c r="X142" s="1026"/>
      <c r="Y142" s="1026"/>
      <c r="Z142" s="1026"/>
    </row>
    <row r="143" spans="1:26">
      <c r="A143" s="1026"/>
      <c r="B143" s="1026"/>
      <c r="C143" s="1026"/>
      <c r="D143" s="1026"/>
      <c r="E143" s="1026"/>
      <c r="F143" s="1026"/>
      <c r="G143" s="1026"/>
      <c r="H143" s="1026"/>
      <c r="I143" s="1026"/>
      <c r="J143" s="1026"/>
      <c r="K143" s="1026"/>
      <c r="L143" s="1026"/>
      <c r="M143" s="1026"/>
      <c r="N143" s="1026"/>
      <c r="O143" s="1026"/>
      <c r="P143" s="1026"/>
      <c r="Q143" s="1026"/>
      <c r="R143" s="1026"/>
      <c r="S143" s="1026"/>
      <c r="T143" s="1026"/>
      <c r="U143" s="1026"/>
      <c r="V143" s="1026"/>
      <c r="W143" s="1026"/>
      <c r="X143" s="1026"/>
      <c r="Y143" s="1026"/>
      <c r="Z143" s="1026"/>
    </row>
    <row r="144" spans="1:26">
      <c r="A144" s="1026"/>
      <c r="B144" s="1026"/>
      <c r="C144" s="1026"/>
      <c r="D144" s="1026"/>
      <c r="E144" s="1026"/>
      <c r="F144" s="1026"/>
      <c r="G144" s="1026"/>
      <c r="H144" s="1026"/>
      <c r="I144" s="1026"/>
      <c r="J144" s="1026"/>
      <c r="K144" s="1026"/>
      <c r="L144" s="1026"/>
      <c r="M144" s="1026"/>
      <c r="N144" s="1026"/>
      <c r="O144" s="1026"/>
      <c r="P144" s="1026"/>
      <c r="Q144" s="1026"/>
      <c r="R144" s="1026"/>
      <c r="S144" s="1026"/>
      <c r="T144" s="1026"/>
      <c r="U144" s="1026"/>
      <c r="V144" s="1026"/>
      <c r="W144" s="1026"/>
      <c r="X144" s="1026"/>
      <c r="Y144" s="1026"/>
      <c r="Z144" s="1026"/>
    </row>
    <row r="145" spans="1:26">
      <c r="A145" s="1026"/>
      <c r="B145" s="1026"/>
      <c r="C145" s="1026"/>
      <c r="D145" s="1026"/>
      <c r="E145" s="1026"/>
      <c r="F145" s="1026"/>
      <c r="G145" s="1026"/>
      <c r="H145" s="1026"/>
      <c r="I145" s="1026"/>
      <c r="J145" s="1026"/>
      <c r="K145" s="1026"/>
      <c r="L145" s="1026"/>
      <c r="M145" s="1026"/>
      <c r="N145" s="1026"/>
      <c r="O145" s="1026"/>
      <c r="P145" s="1026"/>
      <c r="Q145" s="1026"/>
      <c r="R145" s="1026"/>
      <c r="S145" s="1026"/>
      <c r="T145" s="1026"/>
      <c r="U145" s="1026"/>
      <c r="V145" s="1026"/>
      <c r="W145" s="1026"/>
      <c r="X145" s="1026"/>
      <c r="Y145" s="1026"/>
      <c r="Z145" s="1026"/>
    </row>
    <row r="146" spans="1:26">
      <c r="A146" s="1026"/>
      <c r="B146" s="1026"/>
      <c r="C146" s="1026"/>
      <c r="D146" s="1026"/>
      <c r="E146" s="1026"/>
      <c r="F146" s="1026"/>
      <c r="G146" s="1026"/>
      <c r="H146" s="1026"/>
      <c r="I146" s="1026"/>
      <c r="J146" s="1026"/>
      <c r="K146" s="1026"/>
      <c r="L146" s="1026"/>
      <c r="M146" s="1026"/>
      <c r="N146" s="1026"/>
      <c r="O146" s="1026"/>
      <c r="P146" s="1026"/>
      <c r="Q146" s="1026"/>
      <c r="R146" s="1026"/>
      <c r="S146" s="1026"/>
      <c r="T146" s="1026"/>
      <c r="U146" s="1026"/>
      <c r="V146" s="1026"/>
      <c r="W146" s="1026"/>
      <c r="X146" s="1026"/>
      <c r="Y146" s="1026"/>
      <c r="Z146" s="1026"/>
    </row>
    <row r="147" spans="1:26">
      <c r="A147" s="1026"/>
      <c r="B147" s="1026"/>
      <c r="C147" s="1026"/>
      <c r="D147" s="1026"/>
      <c r="E147" s="1026"/>
      <c r="F147" s="1026"/>
      <c r="G147" s="1026"/>
      <c r="H147" s="1026"/>
      <c r="I147" s="1026"/>
      <c r="J147" s="1026"/>
      <c r="K147" s="1026"/>
      <c r="L147" s="1026"/>
      <c r="M147" s="1026"/>
      <c r="N147" s="1026"/>
      <c r="O147" s="1026"/>
      <c r="P147" s="1026"/>
      <c r="Q147" s="1026"/>
      <c r="R147" s="1026"/>
      <c r="S147" s="1026"/>
      <c r="T147" s="1026"/>
      <c r="U147" s="1026"/>
      <c r="V147" s="1026"/>
      <c r="W147" s="1026"/>
      <c r="X147" s="1026"/>
      <c r="Y147" s="1026"/>
      <c r="Z147" s="1026"/>
    </row>
    <row r="148" spans="1:26">
      <c r="A148" s="1026"/>
      <c r="B148" s="1026"/>
      <c r="C148" s="1026"/>
      <c r="D148" s="1026"/>
      <c r="E148" s="1026"/>
      <c r="F148" s="1026"/>
      <c r="G148" s="1026"/>
      <c r="H148" s="1026"/>
      <c r="I148" s="1026"/>
      <c r="J148" s="1026"/>
      <c r="K148" s="1026"/>
      <c r="L148" s="1026"/>
      <c r="M148" s="1026"/>
      <c r="N148" s="1026"/>
      <c r="O148" s="1026"/>
      <c r="P148" s="1026"/>
      <c r="Q148" s="1026"/>
      <c r="R148" s="1026"/>
      <c r="S148" s="1026"/>
      <c r="T148" s="1026"/>
      <c r="U148" s="1026"/>
      <c r="V148" s="1026"/>
      <c r="W148" s="1026"/>
      <c r="X148" s="1026"/>
      <c r="Y148" s="1026"/>
      <c r="Z148" s="1026"/>
    </row>
    <row r="149" spans="1:26">
      <c r="A149" s="1026"/>
      <c r="B149" s="1026"/>
      <c r="C149" s="1026"/>
      <c r="D149" s="1026"/>
      <c r="E149" s="1026"/>
      <c r="F149" s="1026"/>
      <c r="G149" s="1026"/>
      <c r="H149" s="1026"/>
      <c r="I149" s="1026"/>
      <c r="J149" s="1026"/>
      <c r="K149" s="1026"/>
      <c r="L149" s="1026"/>
      <c r="M149" s="1026"/>
      <c r="N149" s="1026"/>
      <c r="O149" s="1026"/>
      <c r="P149" s="1026"/>
      <c r="Q149" s="1026"/>
      <c r="R149" s="1026"/>
      <c r="S149" s="1026"/>
      <c r="T149" s="1026"/>
      <c r="U149" s="1026"/>
      <c r="V149" s="1026"/>
      <c r="W149" s="1026"/>
      <c r="X149" s="1026"/>
      <c r="Y149" s="1026"/>
      <c r="Z149" s="1026"/>
    </row>
    <row r="150" spans="1:26">
      <c r="A150" s="1026"/>
      <c r="B150" s="1026"/>
      <c r="C150" s="1026"/>
      <c r="D150" s="1026"/>
      <c r="E150" s="1026"/>
      <c r="F150" s="1026"/>
      <c r="G150" s="1026"/>
      <c r="H150" s="1026"/>
      <c r="I150" s="1026"/>
      <c r="J150" s="1026"/>
      <c r="K150" s="1026"/>
      <c r="L150" s="1026"/>
      <c r="M150" s="1026"/>
      <c r="N150" s="1026"/>
      <c r="O150" s="1026"/>
      <c r="P150" s="1026"/>
      <c r="Q150" s="1026"/>
      <c r="R150" s="1026"/>
      <c r="S150" s="1026"/>
      <c r="T150" s="1026"/>
      <c r="U150" s="1026"/>
      <c r="V150" s="1026"/>
      <c r="W150" s="1026"/>
      <c r="X150" s="1026"/>
      <c r="Y150" s="1026"/>
      <c r="Z150" s="1026"/>
    </row>
    <row r="151" spans="1:26">
      <c r="A151" s="1026"/>
      <c r="B151" s="1026"/>
      <c r="C151" s="1026"/>
      <c r="D151" s="1026"/>
      <c r="E151" s="1026"/>
      <c r="F151" s="1026"/>
      <c r="G151" s="1026"/>
      <c r="H151" s="1026"/>
      <c r="I151" s="1026"/>
      <c r="J151" s="1026"/>
      <c r="K151" s="1026"/>
      <c r="L151" s="1026"/>
      <c r="M151" s="1026"/>
      <c r="N151" s="1026"/>
      <c r="O151" s="1026"/>
      <c r="P151" s="1026"/>
      <c r="Q151" s="1026"/>
      <c r="R151" s="1026"/>
      <c r="S151" s="1026"/>
      <c r="T151" s="1026"/>
      <c r="U151" s="1026"/>
      <c r="V151" s="1026"/>
      <c r="W151" s="1026"/>
      <c r="X151" s="1026"/>
      <c r="Y151" s="1026"/>
      <c r="Z151" s="1026"/>
    </row>
    <row r="152" spans="1:26">
      <c r="A152" s="1026"/>
      <c r="B152" s="1026"/>
      <c r="C152" s="1026"/>
      <c r="D152" s="1026"/>
      <c r="E152" s="1026"/>
      <c r="F152" s="1026"/>
      <c r="G152" s="1026"/>
      <c r="H152" s="1026"/>
      <c r="I152" s="1026"/>
      <c r="J152" s="1026"/>
      <c r="K152" s="1026"/>
      <c r="L152" s="1026"/>
      <c r="M152" s="1026"/>
      <c r="N152" s="1026"/>
      <c r="O152" s="1026"/>
      <c r="P152" s="1026"/>
      <c r="Q152" s="1026"/>
      <c r="R152" s="1026"/>
      <c r="S152" s="1026"/>
      <c r="T152" s="1026"/>
      <c r="U152" s="1026"/>
      <c r="V152" s="1026"/>
      <c r="W152" s="1026"/>
      <c r="X152" s="1026"/>
      <c r="Y152" s="1026"/>
      <c r="Z152" s="1026"/>
    </row>
    <row r="153" spans="1:26">
      <c r="A153" s="1026"/>
      <c r="B153" s="1026"/>
      <c r="C153" s="1026"/>
      <c r="D153" s="1026"/>
      <c r="E153" s="1026"/>
      <c r="F153" s="1026"/>
      <c r="G153" s="1026"/>
      <c r="H153" s="1026"/>
      <c r="I153" s="1026"/>
      <c r="J153" s="1026"/>
      <c r="K153" s="1026"/>
      <c r="L153" s="1026"/>
      <c r="M153" s="1026"/>
      <c r="N153" s="1026"/>
      <c r="O153" s="1026"/>
      <c r="P153" s="1026"/>
      <c r="Q153" s="1026"/>
      <c r="R153" s="1026"/>
      <c r="S153" s="1026"/>
      <c r="T153" s="1026"/>
      <c r="U153" s="1026"/>
      <c r="V153" s="1026"/>
      <c r="W153" s="1026"/>
      <c r="X153" s="1026"/>
      <c r="Y153" s="1026"/>
      <c r="Z153" s="1026"/>
    </row>
    <row r="154" spans="1:26">
      <c r="A154" s="1026"/>
      <c r="B154" s="1026"/>
      <c r="C154" s="1026"/>
      <c r="D154" s="1026"/>
      <c r="E154" s="1026"/>
      <c r="F154" s="1026"/>
      <c r="G154" s="1026"/>
      <c r="H154" s="1026"/>
      <c r="I154" s="1026"/>
      <c r="J154" s="1026"/>
      <c r="K154" s="1026"/>
      <c r="L154" s="1026"/>
      <c r="M154" s="1026"/>
      <c r="N154" s="1026"/>
      <c r="O154" s="1026"/>
      <c r="P154" s="1026"/>
      <c r="Q154" s="1026"/>
      <c r="R154" s="1026"/>
      <c r="S154" s="1026"/>
      <c r="T154" s="1026"/>
      <c r="U154" s="1026"/>
      <c r="V154" s="1026"/>
      <c r="W154" s="1026"/>
      <c r="X154" s="1026"/>
      <c r="Y154" s="1026"/>
      <c r="Z154" s="1026"/>
    </row>
    <row r="155" spans="1:26">
      <c r="A155" s="1026"/>
      <c r="B155" s="1026"/>
      <c r="C155" s="1026"/>
      <c r="D155" s="1026"/>
      <c r="E155" s="1026"/>
      <c r="F155" s="1026"/>
      <c r="G155" s="1026"/>
      <c r="H155" s="1026"/>
      <c r="I155" s="1026"/>
      <c r="J155" s="1026"/>
      <c r="K155" s="1026"/>
      <c r="L155" s="1026"/>
      <c r="M155" s="1026"/>
      <c r="N155" s="1026"/>
      <c r="O155" s="1026"/>
      <c r="P155" s="1026"/>
      <c r="Q155" s="1026"/>
      <c r="R155" s="1026"/>
      <c r="S155" s="1026"/>
      <c r="T155" s="1026"/>
      <c r="U155" s="1026"/>
      <c r="V155" s="1026"/>
      <c r="W155" s="1026"/>
      <c r="X155" s="1026"/>
      <c r="Y155" s="1026"/>
      <c r="Z155" s="1026"/>
    </row>
    <row r="156" spans="1:26">
      <c r="A156" s="1026"/>
      <c r="B156" s="1026"/>
      <c r="C156" s="1026"/>
      <c r="D156" s="1026"/>
      <c r="E156" s="1026"/>
      <c r="F156" s="1026"/>
      <c r="G156" s="1026"/>
      <c r="H156" s="1026"/>
      <c r="I156" s="1026"/>
      <c r="J156" s="1026"/>
      <c r="K156" s="1026"/>
      <c r="L156" s="1026"/>
      <c r="M156" s="1026"/>
      <c r="N156" s="1026"/>
      <c r="O156" s="1026"/>
      <c r="P156" s="1026"/>
      <c r="Q156" s="1026"/>
      <c r="R156" s="1026"/>
      <c r="S156" s="1026"/>
      <c r="T156" s="1026"/>
      <c r="U156" s="1026"/>
      <c r="V156" s="1026"/>
      <c r="W156" s="1026"/>
      <c r="X156" s="1026"/>
      <c r="Y156" s="1026"/>
      <c r="Z156" s="1026"/>
    </row>
    <row r="157" spans="1:26">
      <c r="A157" s="1026"/>
      <c r="B157" s="1026"/>
      <c r="C157" s="1026"/>
      <c r="D157" s="1026"/>
      <c r="E157" s="1026"/>
      <c r="F157" s="1026"/>
      <c r="G157" s="1026"/>
      <c r="H157" s="1026"/>
      <c r="I157" s="1026"/>
      <c r="J157" s="1026"/>
      <c r="K157" s="1026"/>
      <c r="L157" s="1026"/>
      <c r="M157" s="1026"/>
      <c r="N157" s="1026"/>
      <c r="O157" s="1026"/>
      <c r="P157" s="1026"/>
      <c r="Q157" s="1026"/>
      <c r="R157" s="1026"/>
      <c r="S157" s="1026"/>
      <c r="T157" s="1026"/>
      <c r="U157" s="1026"/>
      <c r="V157" s="1026"/>
      <c r="W157" s="1026"/>
      <c r="X157" s="1026"/>
      <c r="Y157" s="1026"/>
      <c r="Z157" s="1026"/>
    </row>
    <row r="158" spans="1:26">
      <c r="A158" s="1026"/>
      <c r="B158" s="1026"/>
      <c r="C158" s="1026"/>
      <c r="D158" s="1026"/>
      <c r="E158" s="1026"/>
      <c r="F158" s="1026"/>
      <c r="G158" s="1026"/>
      <c r="H158" s="1026"/>
      <c r="I158" s="1026"/>
      <c r="J158" s="1026"/>
      <c r="K158" s="1026"/>
      <c r="L158" s="1026"/>
      <c r="M158" s="1026"/>
      <c r="N158" s="1026"/>
      <c r="O158" s="1026"/>
      <c r="P158" s="1026"/>
      <c r="Q158" s="1026"/>
      <c r="R158" s="1026"/>
      <c r="S158" s="1026"/>
      <c r="T158" s="1026"/>
      <c r="U158" s="1026"/>
      <c r="V158" s="1026"/>
      <c r="W158" s="1026"/>
      <c r="X158" s="1026"/>
      <c r="Y158" s="1026"/>
      <c r="Z158" s="1026"/>
    </row>
    <row r="159" spans="1:26">
      <c r="A159" s="1026"/>
      <c r="B159" s="1026"/>
      <c r="C159" s="1026"/>
      <c r="D159" s="1026"/>
      <c r="E159" s="1026"/>
      <c r="F159" s="1026"/>
      <c r="G159" s="1026"/>
      <c r="H159" s="1026"/>
      <c r="I159" s="1026"/>
      <c r="J159" s="1026"/>
      <c r="K159" s="1026"/>
      <c r="L159" s="1026"/>
      <c r="M159" s="1026"/>
      <c r="N159" s="1026"/>
      <c r="O159" s="1026"/>
      <c r="P159" s="1026"/>
      <c r="Q159" s="1026"/>
      <c r="R159" s="1026"/>
      <c r="S159" s="1026"/>
      <c r="T159" s="1026"/>
      <c r="U159" s="1026"/>
      <c r="V159" s="1026"/>
      <c r="W159" s="1026"/>
      <c r="X159" s="1026"/>
      <c r="Y159" s="1026"/>
      <c r="Z159" s="1026"/>
    </row>
    <row r="160" spans="1:26">
      <c r="A160" s="1026"/>
      <c r="B160" s="1026"/>
      <c r="C160" s="1026"/>
      <c r="D160" s="1026"/>
      <c r="E160" s="1026"/>
      <c r="F160" s="1026"/>
      <c r="G160" s="1026"/>
      <c r="H160" s="1026"/>
      <c r="I160" s="1026"/>
      <c r="J160" s="1026"/>
      <c r="K160" s="1026"/>
      <c r="L160" s="1026"/>
      <c r="M160" s="1026"/>
      <c r="N160" s="1026"/>
      <c r="O160" s="1026"/>
      <c r="P160" s="1026"/>
      <c r="Q160" s="1026"/>
      <c r="R160" s="1026"/>
      <c r="S160" s="1026"/>
      <c r="T160" s="1026"/>
      <c r="U160" s="1026"/>
      <c r="V160" s="1026"/>
      <c r="W160" s="1026"/>
      <c r="X160" s="1026"/>
      <c r="Y160" s="1026"/>
      <c r="Z160" s="1026"/>
    </row>
    <row r="161" spans="1:26">
      <c r="A161" s="1026"/>
      <c r="B161" s="1026"/>
      <c r="C161" s="1026"/>
      <c r="D161" s="1026"/>
      <c r="E161" s="1026"/>
      <c r="F161" s="1026"/>
      <c r="G161" s="1026"/>
      <c r="H161" s="1026"/>
      <c r="I161" s="1026"/>
      <c r="J161" s="1026"/>
      <c r="K161" s="1026"/>
      <c r="L161" s="1026"/>
      <c r="M161" s="1026"/>
      <c r="N161" s="1026"/>
      <c r="O161" s="1026"/>
      <c r="P161" s="1026"/>
      <c r="Q161" s="1026"/>
      <c r="R161" s="1026"/>
      <c r="S161" s="1026"/>
      <c r="T161" s="1026"/>
      <c r="U161" s="1026"/>
      <c r="V161" s="1026"/>
      <c r="W161" s="1026"/>
      <c r="X161" s="1026"/>
      <c r="Y161" s="1026"/>
      <c r="Z161" s="1026"/>
    </row>
    <row r="162" spans="1:26">
      <c r="A162" s="1026"/>
      <c r="B162" s="1026"/>
      <c r="C162" s="1026"/>
      <c r="D162" s="1026"/>
      <c r="E162" s="1026"/>
      <c r="F162" s="1026"/>
      <c r="G162" s="1026"/>
      <c r="H162" s="1026"/>
      <c r="I162" s="1026"/>
      <c r="J162" s="1026"/>
      <c r="K162" s="1026"/>
      <c r="L162" s="1026"/>
      <c r="M162" s="1026"/>
      <c r="N162" s="1026"/>
      <c r="O162" s="1026"/>
      <c r="P162" s="1026"/>
      <c r="Q162" s="1026"/>
      <c r="R162" s="1026"/>
      <c r="S162" s="1026"/>
      <c r="T162" s="1026"/>
      <c r="U162" s="1026"/>
      <c r="V162" s="1026"/>
      <c r="W162" s="1026"/>
      <c r="X162" s="1026"/>
      <c r="Y162" s="1026"/>
      <c r="Z162" s="1026"/>
    </row>
    <row r="163" spans="1:26">
      <c r="A163" s="1026"/>
      <c r="B163" s="1026"/>
      <c r="C163" s="1026"/>
      <c r="D163" s="1026"/>
      <c r="E163" s="1026"/>
      <c r="F163" s="1026"/>
      <c r="G163" s="1026"/>
      <c r="H163" s="1026"/>
      <c r="I163" s="1026"/>
      <c r="J163" s="1026"/>
      <c r="K163" s="1026"/>
      <c r="L163" s="1026"/>
      <c r="M163" s="1026"/>
      <c r="N163" s="1026"/>
      <c r="O163" s="1026"/>
      <c r="P163" s="1026"/>
      <c r="Q163" s="1026"/>
      <c r="R163" s="1026"/>
      <c r="S163" s="1026"/>
      <c r="T163" s="1026"/>
      <c r="U163" s="1026"/>
      <c r="V163" s="1026"/>
      <c r="W163" s="1026"/>
      <c r="X163" s="1026"/>
      <c r="Y163" s="1026"/>
      <c r="Z163" s="1026"/>
    </row>
    <row r="164" spans="1:26">
      <c r="A164" s="1026"/>
      <c r="B164" s="1026"/>
      <c r="C164" s="1026"/>
      <c r="D164" s="1026"/>
      <c r="E164" s="1026"/>
      <c r="F164" s="1026"/>
      <c r="G164" s="1026"/>
      <c r="H164" s="1026"/>
      <c r="I164" s="1026"/>
      <c r="J164" s="1026"/>
      <c r="K164" s="1026"/>
      <c r="L164" s="1026"/>
      <c r="M164" s="1026"/>
      <c r="N164" s="1026"/>
      <c r="O164" s="1026"/>
      <c r="P164" s="1026"/>
      <c r="Q164" s="1026"/>
      <c r="R164" s="1026"/>
      <c r="S164" s="1026"/>
      <c r="T164" s="1026"/>
      <c r="U164" s="1026"/>
      <c r="V164" s="1026"/>
      <c r="W164" s="1026"/>
      <c r="X164" s="1026"/>
      <c r="Y164" s="1026"/>
      <c r="Z164" s="1026"/>
    </row>
    <row r="165" spans="1:26">
      <c r="A165" s="1026"/>
      <c r="B165" s="1026"/>
      <c r="C165" s="1026"/>
      <c r="D165" s="1026"/>
      <c r="E165" s="1026"/>
      <c r="F165" s="1026"/>
      <c r="G165" s="1026"/>
      <c r="H165" s="1026"/>
      <c r="I165" s="1026"/>
      <c r="J165" s="1026"/>
      <c r="K165" s="1026"/>
      <c r="L165" s="1026"/>
      <c r="M165" s="1026"/>
      <c r="N165" s="1026"/>
      <c r="O165" s="1026"/>
      <c r="P165" s="1026"/>
      <c r="Q165" s="1026"/>
      <c r="R165" s="1026"/>
      <c r="S165" s="1026"/>
      <c r="T165" s="1026"/>
      <c r="U165" s="1026"/>
      <c r="V165" s="1026"/>
      <c r="W165" s="1026"/>
      <c r="X165" s="1026"/>
      <c r="Y165" s="1026"/>
      <c r="Z165" s="1026"/>
    </row>
    <row r="166" spans="1:26">
      <c r="A166" s="1026"/>
      <c r="B166" s="1026"/>
      <c r="C166" s="1026"/>
      <c r="D166" s="1026"/>
      <c r="E166" s="1026"/>
      <c r="F166" s="1026"/>
      <c r="G166" s="1026"/>
      <c r="H166" s="1026"/>
      <c r="I166" s="1026"/>
      <c r="J166" s="1026"/>
      <c r="K166" s="1026"/>
      <c r="L166" s="1026"/>
      <c r="M166" s="1026"/>
      <c r="N166" s="1026"/>
      <c r="O166" s="1026"/>
      <c r="P166" s="1026"/>
      <c r="Q166" s="1026"/>
      <c r="R166" s="1026"/>
      <c r="S166" s="1026"/>
      <c r="T166" s="1026"/>
      <c r="U166" s="1026"/>
      <c r="V166" s="1026"/>
      <c r="W166" s="1026"/>
      <c r="X166" s="1026"/>
      <c r="Y166" s="1026"/>
      <c r="Z166" s="1026"/>
    </row>
    <row r="167" spans="1:26">
      <c r="A167" s="1026"/>
      <c r="B167" s="1026"/>
      <c r="C167" s="1026"/>
      <c r="D167" s="1026"/>
      <c r="E167" s="1026"/>
      <c r="F167" s="1026"/>
      <c r="G167" s="1026"/>
      <c r="H167" s="1026"/>
      <c r="I167" s="1026"/>
      <c r="J167" s="1026"/>
      <c r="K167" s="1026"/>
      <c r="L167" s="1026"/>
      <c r="M167" s="1026"/>
      <c r="N167" s="1026"/>
      <c r="O167" s="1026"/>
      <c r="P167" s="1026"/>
      <c r="Q167" s="1026"/>
      <c r="R167" s="1026"/>
      <c r="S167" s="1026"/>
      <c r="T167" s="1026"/>
      <c r="U167" s="1026"/>
      <c r="V167" s="1026"/>
      <c r="W167" s="1026"/>
      <c r="X167" s="1026"/>
      <c r="Y167" s="1026"/>
      <c r="Z167" s="1026"/>
    </row>
    <row r="168" spans="1:26">
      <c r="A168" s="1026"/>
      <c r="B168" s="1026"/>
      <c r="C168" s="1026"/>
      <c r="D168" s="1026"/>
      <c r="E168" s="1026"/>
      <c r="F168" s="1026"/>
      <c r="G168" s="1026"/>
      <c r="H168" s="1026"/>
      <c r="I168" s="1026"/>
      <c r="J168" s="1026"/>
      <c r="K168" s="1026"/>
      <c r="L168" s="1026"/>
      <c r="M168" s="1026"/>
      <c r="N168" s="1026"/>
      <c r="O168" s="1026"/>
      <c r="P168" s="1026"/>
      <c r="Q168" s="1026"/>
      <c r="R168" s="1026"/>
      <c r="S168" s="1026"/>
      <c r="T168" s="1026"/>
      <c r="U168" s="1026"/>
      <c r="V168" s="1026"/>
      <c r="W168" s="1026"/>
      <c r="X168" s="1026"/>
      <c r="Y168" s="1026"/>
      <c r="Z168" s="1026"/>
    </row>
    <row r="169" spans="1:26">
      <c r="A169" s="1026"/>
      <c r="B169" s="1026"/>
      <c r="C169" s="1026"/>
      <c r="D169" s="1026"/>
      <c r="E169" s="1026"/>
      <c r="F169" s="1026"/>
      <c r="G169" s="1026"/>
      <c r="H169" s="1026"/>
      <c r="I169" s="1026"/>
      <c r="J169" s="1026"/>
      <c r="K169" s="1026"/>
      <c r="L169" s="1026"/>
      <c r="M169" s="1026"/>
      <c r="N169" s="1026"/>
      <c r="O169" s="1026"/>
      <c r="P169" s="1026"/>
      <c r="Q169" s="1026"/>
      <c r="R169" s="1026"/>
      <c r="S169" s="1026"/>
      <c r="T169" s="1026"/>
      <c r="U169" s="1026"/>
      <c r="V169" s="1026"/>
      <c r="W169" s="1026"/>
      <c r="X169" s="1026"/>
      <c r="Y169" s="1026"/>
      <c r="Z169" s="1026"/>
    </row>
    <row r="170" spans="1:26">
      <c r="A170" s="1026"/>
      <c r="B170" s="1026"/>
      <c r="C170" s="1026"/>
      <c r="D170" s="1026"/>
      <c r="E170" s="1026"/>
      <c r="F170" s="1026"/>
      <c r="G170" s="1026"/>
      <c r="H170" s="1026"/>
      <c r="I170" s="1026"/>
      <c r="J170" s="1026"/>
      <c r="K170" s="1026"/>
      <c r="L170" s="1026"/>
      <c r="M170" s="1026"/>
      <c r="N170" s="1026"/>
      <c r="O170" s="1026"/>
      <c r="P170" s="1026"/>
      <c r="Q170" s="1026"/>
      <c r="R170" s="1026"/>
      <c r="S170" s="1026"/>
      <c r="T170" s="1026"/>
      <c r="U170" s="1026"/>
      <c r="V170" s="1026"/>
      <c r="W170" s="1026"/>
      <c r="X170" s="1026"/>
      <c r="Y170" s="1026"/>
      <c r="Z170" s="1026"/>
    </row>
    <row r="171" spans="1:26">
      <c r="A171" s="1026"/>
      <c r="B171" s="1026"/>
      <c r="C171" s="1026"/>
      <c r="D171" s="1026"/>
      <c r="E171" s="1026"/>
      <c r="F171" s="1026"/>
      <c r="G171" s="1026"/>
      <c r="H171" s="1026"/>
      <c r="I171" s="1026"/>
      <c r="J171" s="1026"/>
      <c r="K171" s="1026"/>
      <c r="L171" s="1026"/>
      <c r="M171" s="1026"/>
      <c r="N171" s="1026"/>
      <c r="O171" s="1026"/>
      <c r="P171" s="1026"/>
      <c r="Q171" s="1026"/>
      <c r="R171" s="1026"/>
      <c r="S171" s="1026"/>
      <c r="T171" s="1026"/>
      <c r="U171" s="1026"/>
      <c r="V171" s="1026"/>
      <c r="W171" s="1026"/>
      <c r="X171" s="1026"/>
      <c r="Y171" s="1026"/>
      <c r="Z171" s="1026"/>
    </row>
    <row r="172" spans="1:26">
      <c r="A172" s="1026"/>
      <c r="B172" s="1026"/>
      <c r="C172" s="1026"/>
      <c r="D172" s="1026"/>
      <c r="E172" s="1026"/>
      <c r="F172" s="1026"/>
      <c r="G172" s="1026"/>
      <c r="H172" s="1026"/>
      <c r="I172" s="1026"/>
      <c r="J172" s="1026"/>
      <c r="K172" s="1026"/>
      <c r="L172" s="1026"/>
      <c r="M172" s="1026"/>
      <c r="N172" s="1026"/>
      <c r="O172" s="1026"/>
      <c r="P172" s="1026"/>
      <c r="Q172" s="1026"/>
      <c r="R172" s="1026"/>
      <c r="S172" s="1026"/>
      <c r="T172" s="1026"/>
      <c r="U172" s="1026"/>
      <c r="V172" s="1026"/>
      <c r="W172" s="1026"/>
      <c r="X172" s="1026"/>
      <c r="Y172" s="1026"/>
      <c r="Z172" s="1026"/>
    </row>
    <row r="173" spans="1:26">
      <c r="A173" s="1026"/>
      <c r="B173" s="1026"/>
      <c r="C173" s="1026"/>
      <c r="D173" s="1026"/>
      <c r="E173" s="1026"/>
      <c r="F173" s="1026"/>
      <c r="G173" s="1026"/>
      <c r="H173" s="1026"/>
      <c r="I173" s="1026"/>
      <c r="J173" s="1026"/>
      <c r="K173" s="1026"/>
      <c r="L173" s="1026"/>
      <c r="M173" s="1026"/>
      <c r="N173" s="1026"/>
      <c r="O173" s="1026"/>
      <c r="P173" s="1026"/>
      <c r="Q173" s="1026"/>
      <c r="R173" s="1026"/>
      <c r="S173" s="1026"/>
      <c r="T173" s="1026"/>
      <c r="U173" s="1026"/>
      <c r="V173" s="1026"/>
      <c r="W173" s="1026"/>
      <c r="X173" s="1026"/>
      <c r="Y173" s="1026"/>
      <c r="Z173" s="1026"/>
    </row>
    <row r="174" spans="1:26">
      <c r="A174" s="1026"/>
      <c r="B174" s="1026"/>
      <c r="C174" s="1026"/>
      <c r="D174" s="1026"/>
      <c r="E174" s="1026"/>
      <c r="F174" s="1026"/>
      <c r="G174" s="1026"/>
      <c r="H174" s="1026"/>
      <c r="I174" s="1026"/>
      <c r="J174" s="1026"/>
      <c r="K174" s="1026"/>
      <c r="L174" s="1026"/>
      <c r="M174" s="1026"/>
      <c r="N174" s="1026"/>
      <c r="O174" s="1026"/>
      <c r="P174" s="1026"/>
      <c r="Q174" s="1026"/>
      <c r="R174" s="1026"/>
      <c r="S174" s="1026"/>
      <c r="T174" s="1026"/>
      <c r="U174" s="1026"/>
      <c r="V174" s="1026"/>
      <c r="W174" s="1026"/>
      <c r="X174" s="1026"/>
      <c r="Y174" s="1026"/>
      <c r="Z174" s="1026"/>
    </row>
    <row r="175" spans="1:26">
      <c r="A175" s="1026"/>
      <c r="B175" s="1026"/>
      <c r="C175" s="1026"/>
      <c r="D175" s="1026"/>
      <c r="E175" s="1026"/>
      <c r="F175" s="1026"/>
      <c r="G175" s="1026"/>
      <c r="H175" s="1026"/>
      <c r="I175" s="1026"/>
      <c r="J175" s="1026"/>
      <c r="K175" s="1026"/>
      <c r="L175" s="1026"/>
      <c r="M175" s="1026"/>
      <c r="N175" s="1026"/>
      <c r="O175" s="1026"/>
      <c r="P175" s="1026"/>
      <c r="Q175" s="1026"/>
      <c r="R175" s="1026"/>
      <c r="S175" s="1026"/>
      <c r="T175" s="1026"/>
      <c r="U175" s="1026"/>
      <c r="V175" s="1026"/>
      <c r="W175" s="1026"/>
      <c r="X175" s="1026"/>
      <c r="Y175" s="1026"/>
      <c r="Z175" s="1026"/>
    </row>
    <row r="176" spans="1:26">
      <c r="A176" s="1026"/>
      <c r="B176" s="1026"/>
      <c r="C176" s="1026"/>
      <c r="D176" s="1026"/>
      <c r="E176" s="1026"/>
      <c r="F176" s="1026"/>
      <c r="G176" s="1026"/>
      <c r="H176" s="1026"/>
      <c r="I176" s="1026"/>
      <c r="J176" s="1026"/>
      <c r="K176" s="1026"/>
      <c r="L176" s="1026"/>
      <c r="M176" s="1026"/>
      <c r="N176" s="1026"/>
      <c r="O176" s="1026"/>
      <c r="P176" s="1026"/>
      <c r="Q176" s="1026"/>
      <c r="R176" s="1026"/>
      <c r="S176" s="1026"/>
      <c r="T176" s="1026"/>
      <c r="U176" s="1026"/>
      <c r="V176" s="1026"/>
      <c r="W176" s="1026"/>
      <c r="X176" s="1026"/>
      <c r="Y176" s="1026"/>
      <c r="Z176" s="1026"/>
    </row>
    <row r="177" spans="1:26">
      <c r="A177" s="1026"/>
      <c r="B177" s="1026"/>
      <c r="C177" s="1026"/>
      <c r="D177" s="1026"/>
      <c r="E177" s="1026"/>
      <c r="F177" s="1026"/>
      <c r="G177" s="1026"/>
      <c r="H177" s="1026"/>
      <c r="I177" s="1026"/>
      <c r="J177" s="1026"/>
      <c r="K177" s="1026"/>
      <c r="L177" s="1026"/>
      <c r="M177" s="1026"/>
      <c r="N177" s="1026"/>
      <c r="O177" s="1026"/>
      <c r="P177" s="1026"/>
      <c r="Q177" s="1026"/>
      <c r="R177" s="1026"/>
      <c r="S177" s="1026"/>
      <c r="T177" s="1026"/>
      <c r="U177" s="1026"/>
      <c r="V177" s="1026"/>
      <c r="W177" s="1026"/>
      <c r="X177" s="1026"/>
      <c r="Y177" s="1026"/>
      <c r="Z177" s="1026"/>
    </row>
    <row r="178" spans="1:26">
      <c r="A178" s="1026"/>
      <c r="B178" s="1026"/>
      <c r="C178" s="1026"/>
      <c r="D178" s="1026"/>
      <c r="E178" s="1026"/>
      <c r="F178" s="1026"/>
      <c r="G178" s="1026"/>
      <c r="H178" s="1026"/>
      <c r="I178" s="1026"/>
      <c r="J178" s="1026"/>
      <c r="K178" s="1026"/>
      <c r="L178" s="1026"/>
      <c r="M178" s="1026"/>
      <c r="N178" s="1026"/>
      <c r="O178" s="1026"/>
      <c r="P178" s="1026"/>
      <c r="Q178" s="1026"/>
      <c r="R178" s="1026"/>
      <c r="S178" s="1026"/>
      <c r="T178" s="1026"/>
      <c r="U178" s="1026"/>
      <c r="V178" s="1026"/>
      <c r="W178" s="1026"/>
      <c r="X178" s="1026"/>
      <c r="Y178" s="1026"/>
      <c r="Z178" s="1026"/>
    </row>
    <row r="179" spans="1:26">
      <c r="A179" s="1026"/>
      <c r="B179" s="1026"/>
      <c r="C179" s="1026"/>
      <c r="D179" s="1026"/>
      <c r="E179" s="1026"/>
      <c r="F179" s="1026"/>
      <c r="G179" s="1026"/>
      <c r="H179" s="1026"/>
      <c r="I179" s="1026"/>
      <c r="J179" s="1026"/>
      <c r="K179" s="1026"/>
      <c r="L179" s="1026"/>
      <c r="M179" s="1026"/>
      <c r="N179" s="1026"/>
      <c r="O179" s="1026"/>
      <c r="P179" s="1026"/>
      <c r="Q179" s="1026"/>
      <c r="R179" s="1026"/>
      <c r="S179" s="1026"/>
      <c r="T179" s="1026"/>
      <c r="U179" s="1026"/>
      <c r="V179" s="1026"/>
      <c r="W179" s="1026"/>
      <c r="X179" s="1026"/>
      <c r="Y179" s="1026"/>
      <c r="Z179" s="1026"/>
    </row>
    <row r="180" spans="1:26">
      <c r="A180" s="1026"/>
      <c r="B180" s="1026"/>
      <c r="C180" s="1026"/>
      <c r="D180" s="1026"/>
      <c r="E180" s="1026"/>
      <c r="F180" s="1026"/>
      <c r="G180" s="1026"/>
      <c r="H180" s="1026"/>
      <c r="I180" s="1026"/>
      <c r="J180" s="1026"/>
      <c r="K180" s="1026"/>
      <c r="L180" s="1026"/>
      <c r="M180" s="1026"/>
      <c r="N180" s="1026"/>
      <c r="O180" s="1026"/>
      <c r="P180" s="1026"/>
      <c r="Q180" s="1026"/>
      <c r="R180" s="1026"/>
      <c r="S180" s="1026"/>
      <c r="T180" s="1026"/>
      <c r="U180" s="1026"/>
      <c r="V180" s="1026"/>
      <c r="W180" s="1026"/>
      <c r="X180" s="1026"/>
      <c r="Y180" s="1026"/>
      <c r="Z180" s="1026"/>
    </row>
    <row r="181" spans="1:26">
      <c r="A181" s="1026"/>
      <c r="B181" s="1026"/>
      <c r="C181" s="1026"/>
      <c r="D181" s="1026"/>
      <c r="E181" s="1026"/>
      <c r="F181" s="1026"/>
      <c r="G181" s="1026"/>
      <c r="H181" s="1026"/>
      <c r="I181" s="1026"/>
      <c r="J181" s="1026"/>
      <c r="K181" s="1026"/>
      <c r="L181" s="1026"/>
      <c r="M181" s="1026"/>
      <c r="N181" s="1026"/>
      <c r="O181" s="1026"/>
      <c r="P181" s="1026"/>
      <c r="Q181" s="1026"/>
      <c r="R181" s="1026"/>
      <c r="S181" s="1026"/>
      <c r="T181" s="1026"/>
      <c r="U181" s="1026"/>
      <c r="V181" s="1026"/>
      <c r="W181" s="1026"/>
      <c r="X181" s="1026"/>
      <c r="Y181" s="1026"/>
      <c r="Z181" s="1026"/>
    </row>
    <row r="182" spans="1:26">
      <c r="A182" s="1026"/>
      <c r="B182" s="1026"/>
      <c r="C182" s="1026"/>
      <c r="D182" s="1026"/>
      <c r="E182" s="1026"/>
      <c r="F182" s="1026"/>
      <c r="G182" s="1026"/>
      <c r="H182" s="1026"/>
      <c r="I182" s="1026"/>
      <c r="J182" s="1026"/>
      <c r="K182" s="1026"/>
      <c r="L182" s="1026"/>
      <c r="M182" s="1026"/>
      <c r="N182" s="1026"/>
      <c r="O182" s="1026"/>
      <c r="P182" s="1026"/>
      <c r="Q182" s="1026"/>
      <c r="R182" s="1026"/>
      <c r="S182" s="1026"/>
      <c r="T182" s="1026"/>
      <c r="U182" s="1026"/>
      <c r="V182" s="1026"/>
      <c r="W182" s="1026"/>
      <c r="X182" s="1026"/>
      <c r="Y182" s="1026"/>
      <c r="Z182" s="1026"/>
    </row>
    <row r="183" spans="1:26">
      <c r="A183" s="1026"/>
      <c r="B183" s="1026"/>
      <c r="C183" s="1026"/>
      <c r="D183" s="1026"/>
      <c r="E183" s="1026"/>
      <c r="F183" s="1026"/>
      <c r="G183" s="1026"/>
      <c r="H183" s="1026"/>
      <c r="I183" s="1026"/>
      <c r="J183" s="1026"/>
      <c r="K183" s="1026"/>
      <c r="L183" s="1026"/>
      <c r="M183" s="1026"/>
      <c r="N183" s="1026"/>
      <c r="O183" s="1026"/>
      <c r="P183" s="1026"/>
      <c r="Q183" s="1026"/>
      <c r="R183" s="1026"/>
      <c r="S183" s="1026"/>
      <c r="T183" s="1026"/>
      <c r="U183" s="1026"/>
      <c r="V183" s="1026"/>
      <c r="W183" s="1026"/>
      <c r="X183" s="1026"/>
      <c r="Y183" s="1026"/>
      <c r="Z183" s="1026"/>
    </row>
    <row r="184" spans="1:26">
      <c r="A184" s="1026"/>
      <c r="B184" s="1026"/>
      <c r="C184" s="1026"/>
      <c r="D184" s="1026"/>
      <c r="E184" s="1026"/>
      <c r="F184" s="1026"/>
      <c r="G184" s="1026"/>
      <c r="H184" s="1026"/>
      <c r="I184" s="1026"/>
      <c r="J184" s="1026"/>
      <c r="K184" s="1026"/>
      <c r="L184" s="1026"/>
      <c r="M184" s="1026"/>
      <c r="N184" s="1026"/>
      <c r="O184" s="1026"/>
      <c r="P184" s="1026"/>
      <c r="Q184" s="1026"/>
      <c r="R184" s="1026"/>
      <c r="S184" s="1026"/>
      <c r="T184" s="1026"/>
      <c r="U184" s="1026"/>
      <c r="V184" s="1026"/>
      <c r="W184" s="1026"/>
      <c r="X184" s="1026"/>
      <c r="Y184" s="1026"/>
      <c r="Z184" s="1026"/>
    </row>
    <row r="185" spans="1:26">
      <c r="A185" s="1026"/>
      <c r="B185" s="1026"/>
      <c r="C185" s="1026"/>
      <c r="D185" s="1026"/>
      <c r="E185" s="1026"/>
      <c r="F185" s="1026"/>
      <c r="G185" s="1026"/>
      <c r="H185" s="1026"/>
      <c r="I185" s="1026"/>
      <c r="J185" s="1026"/>
      <c r="K185" s="1026"/>
      <c r="L185" s="1026"/>
      <c r="M185" s="1026"/>
      <c r="N185" s="1026"/>
      <c r="O185" s="1026"/>
      <c r="P185" s="1026"/>
      <c r="Q185" s="1026"/>
      <c r="R185" s="1026"/>
      <c r="S185" s="1026"/>
      <c r="T185" s="1026"/>
      <c r="U185" s="1026"/>
      <c r="V185" s="1026"/>
      <c r="W185" s="1026"/>
      <c r="X185" s="1026"/>
      <c r="Y185" s="1026"/>
      <c r="Z185" s="1026"/>
    </row>
    <row r="186" spans="1:26">
      <c r="A186" s="1026"/>
      <c r="B186" s="1026"/>
      <c r="C186" s="1026"/>
      <c r="D186" s="1026"/>
      <c r="E186" s="1026"/>
      <c r="F186" s="1026"/>
      <c r="G186" s="1026"/>
      <c r="H186" s="1026"/>
      <c r="I186" s="1026"/>
      <c r="J186" s="1026"/>
      <c r="K186" s="1026"/>
      <c r="L186" s="1026"/>
      <c r="M186" s="1026"/>
      <c r="N186" s="1026"/>
      <c r="O186" s="1026"/>
      <c r="P186" s="1026"/>
      <c r="Q186" s="1026"/>
      <c r="R186" s="1026"/>
      <c r="S186" s="1026"/>
      <c r="T186" s="1026"/>
      <c r="U186" s="1026"/>
      <c r="V186" s="1026"/>
      <c r="W186" s="1026"/>
      <c r="X186" s="1026"/>
      <c r="Y186" s="1026"/>
      <c r="Z186" s="1026"/>
    </row>
    <row r="187" spans="1:26">
      <c r="A187" s="1026"/>
      <c r="B187" s="1026"/>
      <c r="C187" s="1026"/>
      <c r="D187" s="1026"/>
      <c r="E187" s="1026"/>
      <c r="F187" s="1026"/>
      <c r="G187" s="1026"/>
      <c r="H187" s="1026"/>
      <c r="I187" s="1026"/>
      <c r="J187" s="1026"/>
      <c r="K187" s="1026"/>
      <c r="L187" s="1026"/>
      <c r="M187" s="1026"/>
      <c r="N187" s="1026"/>
      <c r="O187" s="1026"/>
      <c r="P187" s="1026"/>
      <c r="Q187" s="1026"/>
      <c r="R187" s="1026"/>
      <c r="S187" s="1026"/>
      <c r="T187" s="1026"/>
      <c r="U187" s="1026"/>
      <c r="V187" s="1026"/>
      <c r="W187" s="1026"/>
      <c r="X187" s="1026"/>
      <c r="Y187" s="1026"/>
      <c r="Z187" s="1026"/>
    </row>
    <row r="188" spans="1:26">
      <c r="A188" s="1026"/>
      <c r="B188" s="1026"/>
      <c r="C188" s="1026"/>
      <c r="D188" s="1026"/>
      <c r="E188" s="1026"/>
      <c r="F188" s="1026"/>
      <c r="G188" s="1026"/>
      <c r="H188" s="1026"/>
      <c r="I188" s="1026"/>
      <c r="J188" s="1026"/>
      <c r="K188" s="1026"/>
      <c r="L188" s="1026"/>
      <c r="M188" s="1026"/>
      <c r="N188" s="1026"/>
      <c r="O188" s="1026"/>
      <c r="P188" s="1026"/>
      <c r="Q188" s="1026"/>
      <c r="R188" s="1026"/>
      <c r="S188" s="1026"/>
      <c r="T188" s="1026"/>
      <c r="U188" s="1026"/>
      <c r="V188" s="1026"/>
      <c r="W188" s="1026"/>
      <c r="X188" s="1026"/>
      <c r="Y188" s="1026"/>
      <c r="Z188" s="1026"/>
    </row>
    <row r="189" spans="1:26">
      <c r="A189" s="1026"/>
      <c r="B189" s="1026"/>
      <c r="C189" s="1026"/>
      <c r="D189" s="1026"/>
      <c r="E189" s="1026"/>
      <c r="F189" s="1026"/>
      <c r="G189" s="1026"/>
      <c r="H189" s="1026"/>
      <c r="I189" s="1026"/>
      <c r="J189" s="1026"/>
      <c r="K189" s="1026"/>
      <c r="L189" s="1026"/>
      <c r="M189" s="1026"/>
      <c r="N189" s="1026"/>
      <c r="O189" s="1026"/>
      <c r="P189" s="1026"/>
      <c r="Q189" s="1026"/>
      <c r="R189" s="1026"/>
      <c r="S189" s="1026"/>
      <c r="T189" s="1026"/>
      <c r="U189" s="1026"/>
      <c r="V189" s="1026"/>
      <c r="W189" s="1026"/>
      <c r="X189" s="1026"/>
      <c r="Y189" s="1026"/>
      <c r="Z189" s="1026"/>
    </row>
    <row r="190" spans="1:26">
      <c r="A190" s="1026"/>
      <c r="B190" s="1026"/>
      <c r="C190" s="1026"/>
      <c r="D190" s="1026"/>
      <c r="E190" s="1026"/>
      <c r="F190" s="1026"/>
      <c r="G190" s="1026"/>
      <c r="H190" s="1026"/>
      <c r="I190" s="1026"/>
      <c r="J190" s="1026"/>
      <c r="K190" s="1026"/>
      <c r="L190" s="1026"/>
      <c r="M190" s="1026"/>
      <c r="N190" s="1026"/>
      <c r="O190" s="1026"/>
      <c r="P190" s="1026"/>
      <c r="Q190" s="1026"/>
      <c r="R190" s="1026"/>
      <c r="S190" s="1026"/>
      <c r="T190" s="1026"/>
      <c r="U190" s="1026"/>
      <c r="V190" s="1026"/>
      <c r="W190" s="1026"/>
      <c r="X190" s="1026"/>
      <c r="Y190" s="1026"/>
      <c r="Z190" s="1026"/>
    </row>
    <row r="191" spans="1:26">
      <c r="A191" s="1026"/>
      <c r="B191" s="1026"/>
      <c r="C191" s="1026"/>
      <c r="D191" s="1026"/>
      <c r="E191" s="1026"/>
      <c r="F191" s="1026"/>
      <c r="G191" s="1026"/>
      <c r="H191" s="1026"/>
      <c r="I191" s="1026"/>
      <c r="J191" s="1026"/>
      <c r="K191" s="1026"/>
      <c r="L191" s="1026"/>
      <c r="M191" s="1026"/>
      <c r="N191" s="1026"/>
      <c r="O191" s="1026"/>
      <c r="P191" s="1026"/>
      <c r="Q191" s="1026"/>
      <c r="R191" s="1026"/>
      <c r="S191" s="1026"/>
      <c r="T191" s="1026"/>
      <c r="U191" s="1026"/>
      <c r="V191" s="1026"/>
      <c r="W191" s="1026"/>
      <c r="X191" s="1026"/>
      <c r="Y191" s="1026"/>
      <c r="Z191" s="1026"/>
    </row>
    <row r="192" spans="1:26">
      <c r="A192" s="1026"/>
      <c r="B192" s="1026"/>
      <c r="C192" s="1026"/>
      <c r="D192" s="1026"/>
      <c r="E192" s="1026"/>
      <c r="F192" s="1026"/>
      <c r="G192" s="1026"/>
      <c r="H192" s="1026"/>
      <c r="I192" s="1026"/>
      <c r="J192" s="1026"/>
      <c r="K192" s="1026"/>
      <c r="L192" s="1026"/>
      <c r="M192" s="1026"/>
      <c r="N192" s="1026"/>
      <c r="O192" s="1026"/>
      <c r="P192" s="1026"/>
      <c r="Q192" s="1026"/>
      <c r="R192" s="1026"/>
      <c r="S192" s="1026"/>
      <c r="T192" s="1026"/>
      <c r="U192" s="1026"/>
      <c r="V192" s="1026"/>
      <c r="W192" s="1026"/>
      <c r="X192" s="1026"/>
      <c r="Y192" s="1026"/>
      <c r="Z192" s="1026"/>
    </row>
    <row r="193" spans="1:26">
      <c r="A193" s="1026"/>
      <c r="B193" s="1026"/>
      <c r="C193" s="1026"/>
      <c r="D193" s="1026"/>
      <c r="E193" s="1026"/>
      <c r="F193" s="1026"/>
      <c r="G193" s="1026"/>
      <c r="H193" s="1026"/>
      <c r="I193" s="1026"/>
      <c r="J193" s="1026"/>
      <c r="K193" s="1026"/>
      <c r="L193" s="1026"/>
      <c r="M193" s="1026"/>
      <c r="N193" s="1026"/>
      <c r="O193" s="1026"/>
      <c r="P193" s="1026"/>
      <c r="Q193" s="1026"/>
      <c r="R193" s="1026"/>
      <c r="S193" s="1026"/>
      <c r="T193" s="1026"/>
      <c r="U193" s="1026"/>
      <c r="V193" s="1026"/>
      <c r="W193" s="1026"/>
      <c r="X193" s="1026"/>
      <c r="Y193" s="1026"/>
      <c r="Z193" s="1026"/>
    </row>
    <row r="194" spans="1:26">
      <c r="A194" s="1026"/>
      <c r="B194" s="1026"/>
      <c r="C194" s="1026"/>
      <c r="D194" s="1026"/>
      <c r="E194" s="1026"/>
      <c r="F194" s="1026"/>
      <c r="G194" s="1026"/>
      <c r="H194" s="1026"/>
      <c r="I194" s="1026"/>
      <c r="J194" s="1026"/>
      <c r="K194" s="1026"/>
      <c r="L194" s="1026"/>
      <c r="M194" s="1026"/>
      <c r="N194" s="1026"/>
      <c r="O194" s="1026"/>
      <c r="P194" s="1026"/>
      <c r="Q194" s="1026"/>
      <c r="R194" s="1026"/>
      <c r="S194" s="1026"/>
      <c r="T194" s="1026"/>
      <c r="U194" s="1026"/>
      <c r="V194" s="1026"/>
      <c r="W194" s="1026"/>
      <c r="X194" s="1026"/>
      <c r="Y194" s="1026"/>
      <c r="Z194" s="1026"/>
    </row>
    <row r="195" spans="1:26">
      <c r="A195" s="1026"/>
      <c r="B195" s="1026"/>
      <c r="C195" s="1026"/>
      <c r="D195" s="1026"/>
      <c r="E195" s="1026"/>
      <c r="F195" s="1026"/>
      <c r="G195" s="1026"/>
      <c r="H195" s="1026"/>
      <c r="I195" s="1026"/>
      <c r="J195" s="1026"/>
      <c r="K195" s="1026"/>
      <c r="L195" s="1026"/>
      <c r="M195" s="1026"/>
      <c r="N195" s="1026"/>
      <c r="O195" s="1026"/>
      <c r="P195" s="1026"/>
      <c r="Q195" s="1026"/>
      <c r="R195" s="1026"/>
      <c r="S195" s="1026"/>
      <c r="T195" s="1026"/>
      <c r="U195" s="1026"/>
      <c r="V195" s="1026"/>
      <c r="W195" s="1026"/>
      <c r="X195" s="1026"/>
      <c r="Y195" s="1026"/>
      <c r="Z195" s="1026"/>
    </row>
    <row r="196" spans="1:26">
      <c r="A196" s="1026"/>
      <c r="B196" s="1026"/>
      <c r="C196" s="1026"/>
      <c r="D196" s="1026"/>
      <c r="E196" s="1026"/>
      <c r="F196" s="1026"/>
      <c r="G196" s="1026"/>
      <c r="H196" s="1026"/>
      <c r="I196" s="1026"/>
      <c r="J196" s="1026"/>
      <c r="K196" s="1026"/>
      <c r="L196" s="1026"/>
      <c r="M196" s="1026"/>
      <c r="N196" s="1026"/>
      <c r="O196" s="1026"/>
      <c r="P196" s="1026"/>
      <c r="Q196" s="1026"/>
      <c r="R196" s="1026"/>
      <c r="S196" s="1026"/>
      <c r="T196" s="1026"/>
      <c r="U196" s="1026"/>
      <c r="V196" s="1026"/>
      <c r="W196" s="1026"/>
      <c r="X196" s="1026"/>
      <c r="Y196" s="1026"/>
      <c r="Z196" s="1026"/>
    </row>
    <row r="197" spans="1:26">
      <c r="A197" s="1026"/>
      <c r="B197" s="1026"/>
      <c r="C197" s="1026"/>
      <c r="D197" s="1026"/>
      <c r="E197" s="1026"/>
      <c r="F197" s="1026"/>
      <c r="G197" s="1026"/>
      <c r="H197" s="1026"/>
      <c r="I197" s="1026"/>
      <c r="J197" s="1026"/>
      <c r="K197" s="1026"/>
      <c r="L197" s="1026"/>
      <c r="M197" s="1026"/>
      <c r="N197" s="1026"/>
      <c r="O197" s="1026"/>
      <c r="P197" s="1026"/>
      <c r="Q197" s="1026"/>
      <c r="R197" s="1026"/>
      <c r="S197" s="1026"/>
      <c r="T197" s="1026"/>
      <c r="U197" s="1026"/>
      <c r="V197" s="1026"/>
      <c r="W197" s="1026"/>
      <c r="X197" s="1026"/>
      <c r="Y197" s="1026"/>
      <c r="Z197" s="1026"/>
    </row>
    <row r="198" spans="1:26">
      <c r="A198" s="1026"/>
      <c r="B198" s="1026"/>
      <c r="C198" s="1026"/>
      <c r="D198" s="1026"/>
      <c r="E198" s="1026"/>
      <c r="F198" s="1026"/>
      <c r="G198" s="1026"/>
      <c r="H198" s="1026"/>
      <c r="I198" s="1026"/>
      <c r="J198" s="1026"/>
      <c r="K198" s="1026"/>
      <c r="L198" s="1026"/>
      <c r="M198" s="1026"/>
      <c r="N198" s="1026"/>
      <c r="O198" s="1026"/>
      <c r="P198" s="1026"/>
      <c r="Q198" s="1026"/>
      <c r="R198" s="1026"/>
      <c r="S198" s="1026"/>
      <c r="T198" s="1026"/>
      <c r="U198" s="1026"/>
      <c r="V198" s="1026"/>
      <c r="W198" s="1026"/>
      <c r="X198" s="1026"/>
      <c r="Y198" s="1026"/>
      <c r="Z198" s="1026"/>
    </row>
    <row r="199" spans="1:26">
      <c r="A199" s="1026"/>
      <c r="B199" s="1026"/>
      <c r="C199" s="1026"/>
      <c r="D199" s="1026"/>
      <c r="E199" s="1026"/>
      <c r="F199" s="1026"/>
      <c r="G199" s="1026"/>
      <c r="H199" s="1026"/>
      <c r="I199" s="1026"/>
      <c r="J199" s="1026"/>
      <c r="K199" s="1026"/>
      <c r="L199" s="1026"/>
      <c r="M199" s="1026"/>
      <c r="N199" s="1026"/>
      <c r="O199" s="1026"/>
      <c r="P199" s="1026"/>
      <c r="Q199" s="1026"/>
      <c r="R199" s="1026"/>
      <c r="S199" s="1026"/>
      <c r="T199" s="1026"/>
      <c r="U199" s="1026"/>
      <c r="V199" s="1026"/>
      <c r="W199" s="1026"/>
      <c r="X199" s="1026"/>
      <c r="Y199" s="1026"/>
      <c r="Z199" s="1026"/>
    </row>
    <row r="200" spans="1:26">
      <c r="A200" s="1026"/>
      <c r="B200" s="1026"/>
      <c r="C200" s="1026"/>
      <c r="D200" s="1026"/>
      <c r="E200" s="1026"/>
      <c r="F200" s="1026"/>
      <c r="G200" s="1026"/>
      <c r="H200" s="1026"/>
      <c r="I200" s="1026"/>
      <c r="J200" s="1026"/>
      <c r="K200" s="1026"/>
      <c r="L200" s="1026"/>
      <c r="M200" s="1026"/>
      <c r="N200" s="1026"/>
      <c r="O200" s="1026"/>
      <c r="P200" s="1026"/>
      <c r="Q200" s="1026"/>
      <c r="R200" s="1026"/>
      <c r="S200" s="1026"/>
      <c r="T200" s="1026"/>
      <c r="U200" s="1026"/>
      <c r="V200" s="1026"/>
      <c r="W200" s="1026"/>
      <c r="X200" s="1026"/>
      <c r="Y200" s="1026"/>
      <c r="Z200" s="1026"/>
    </row>
    <row r="201" spans="1:26">
      <c r="A201" s="1026"/>
      <c r="B201" s="1026"/>
      <c r="C201" s="1026"/>
      <c r="D201" s="1026"/>
      <c r="E201" s="1026"/>
      <c r="F201" s="1026"/>
      <c r="G201" s="1026"/>
      <c r="H201" s="1026"/>
      <c r="I201" s="1026"/>
      <c r="J201" s="1026"/>
      <c r="K201" s="1026"/>
      <c r="L201" s="1026"/>
      <c r="M201" s="1026"/>
      <c r="N201" s="1026"/>
      <c r="O201" s="1026"/>
      <c r="P201" s="1026"/>
      <c r="Q201" s="1026"/>
      <c r="R201" s="1026"/>
      <c r="S201" s="1026"/>
      <c r="T201" s="1026"/>
      <c r="U201" s="1026"/>
      <c r="V201" s="1026"/>
      <c r="W201" s="1026"/>
      <c r="X201" s="1026"/>
      <c r="Y201" s="1026"/>
      <c r="Z201" s="1026"/>
    </row>
    <row r="202" spans="1:26">
      <c r="A202" s="1026"/>
      <c r="B202" s="1026"/>
      <c r="C202" s="1026"/>
      <c r="D202" s="1026"/>
      <c r="E202" s="1026"/>
      <c r="F202" s="1026"/>
      <c r="G202" s="1026"/>
      <c r="H202" s="1026"/>
      <c r="I202" s="1026"/>
      <c r="J202" s="1026"/>
      <c r="K202" s="1026"/>
      <c r="L202" s="1026"/>
      <c r="M202" s="1026"/>
      <c r="N202" s="1026"/>
      <c r="O202" s="1026"/>
      <c r="P202" s="1026"/>
      <c r="Q202" s="1026"/>
      <c r="R202" s="1026"/>
      <c r="S202" s="1026"/>
      <c r="T202" s="1026"/>
      <c r="U202" s="1026"/>
      <c r="V202" s="1026"/>
      <c r="W202" s="1026"/>
      <c r="X202" s="1026"/>
      <c r="Y202" s="1026"/>
      <c r="Z202" s="1026"/>
    </row>
    <row r="203" spans="1:26">
      <c r="A203" s="1026"/>
      <c r="B203" s="1026"/>
      <c r="C203" s="1026"/>
      <c r="D203" s="1026"/>
      <c r="E203" s="1026"/>
      <c r="F203" s="1026"/>
      <c r="G203" s="1026"/>
      <c r="H203" s="1026"/>
      <c r="I203" s="1026"/>
      <c r="J203" s="1026"/>
      <c r="K203" s="1026"/>
      <c r="L203" s="1026"/>
      <c r="M203" s="1026"/>
      <c r="N203" s="1026"/>
      <c r="O203" s="1026"/>
      <c r="P203" s="1026"/>
      <c r="Q203" s="1026"/>
      <c r="R203" s="1026"/>
      <c r="S203" s="1026"/>
      <c r="T203" s="1026"/>
      <c r="U203" s="1026"/>
      <c r="V203" s="1026"/>
      <c r="W203" s="1026"/>
      <c r="X203" s="1026"/>
      <c r="Y203" s="1026"/>
      <c r="Z203" s="1026"/>
    </row>
    <row r="204" spans="1:26">
      <c r="A204" s="1026"/>
      <c r="B204" s="1026"/>
      <c r="C204" s="1026"/>
      <c r="D204" s="1026"/>
      <c r="E204" s="1026"/>
      <c r="F204" s="1026"/>
      <c r="G204" s="1026"/>
      <c r="H204" s="1026"/>
      <c r="I204" s="1026"/>
      <c r="J204" s="1026"/>
      <c r="K204" s="1026"/>
      <c r="L204" s="1026"/>
      <c r="M204" s="1026"/>
      <c r="N204" s="1026"/>
      <c r="O204" s="1026"/>
      <c r="P204" s="1026"/>
      <c r="Q204" s="1026"/>
      <c r="R204" s="1026"/>
      <c r="S204" s="1026"/>
      <c r="T204" s="1026"/>
      <c r="U204" s="1026"/>
      <c r="V204" s="1026"/>
      <c r="W204" s="1026"/>
      <c r="X204" s="1026"/>
      <c r="Y204" s="1026"/>
      <c r="Z204" s="1026"/>
    </row>
    <row r="205" spans="1:26">
      <c r="A205" s="1026"/>
      <c r="B205" s="1026"/>
      <c r="C205" s="1026"/>
      <c r="D205" s="1026"/>
      <c r="E205" s="1026"/>
      <c r="F205" s="1026"/>
      <c r="G205" s="1026"/>
      <c r="H205" s="1026"/>
      <c r="I205" s="1026"/>
      <c r="J205" s="1026"/>
      <c r="K205" s="1026"/>
      <c r="L205" s="1026"/>
      <c r="M205" s="1026"/>
      <c r="N205" s="1026"/>
      <c r="O205" s="1026"/>
      <c r="P205" s="1026"/>
      <c r="Q205" s="1026"/>
      <c r="R205" s="1026"/>
      <c r="S205" s="1026"/>
      <c r="T205" s="1026"/>
      <c r="U205" s="1026"/>
      <c r="V205" s="1026"/>
      <c r="W205" s="1026"/>
      <c r="X205" s="1026"/>
      <c r="Y205" s="1026"/>
      <c r="Z205" s="1026"/>
    </row>
    <row r="206" spans="1:26">
      <c r="A206" s="1026"/>
      <c r="B206" s="1026"/>
      <c r="C206" s="1026"/>
      <c r="D206" s="1026"/>
      <c r="E206" s="1026"/>
      <c r="F206" s="1026"/>
      <c r="G206" s="1026"/>
      <c r="H206" s="1026"/>
      <c r="I206" s="1026"/>
      <c r="J206" s="1026"/>
      <c r="K206" s="1026"/>
      <c r="L206" s="1026"/>
      <c r="M206" s="1026"/>
      <c r="N206" s="1026"/>
      <c r="O206" s="1026"/>
      <c r="P206" s="1026"/>
      <c r="Q206" s="1026"/>
      <c r="R206" s="1026"/>
      <c r="S206" s="1026"/>
      <c r="T206" s="1026"/>
      <c r="U206" s="1026"/>
      <c r="V206" s="1026"/>
      <c r="W206" s="1026"/>
      <c r="X206" s="1026"/>
      <c r="Y206" s="1026"/>
      <c r="Z206" s="1026"/>
    </row>
    <row r="207" spans="1:26">
      <c r="A207" s="1026"/>
      <c r="B207" s="1026"/>
      <c r="C207" s="1026"/>
      <c r="D207" s="1026"/>
      <c r="E207" s="1026"/>
      <c r="F207" s="1026"/>
      <c r="G207" s="1026"/>
      <c r="H207" s="1026"/>
      <c r="I207" s="1026"/>
      <c r="J207" s="1026"/>
      <c r="K207" s="1026"/>
      <c r="L207" s="1026"/>
      <c r="M207" s="1026"/>
      <c r="N207" s="1026"/>
      <c r="O207" s="1026"/>
      <c r="P207" s="1026"/>
      <c r="Q207" s="1026"/>
      <c r="R207" s="1026"/>
      <c r="S207" s="1026"/>
      <c r="T207" s="1026"/>
      <c r="U207" s="1026"/>
      <c r="V207" s="1026"/>
      <c r="W207" s="1026"/>
      <c r="X207" s="1026"/>
      <c r="Y207" s="1026"/>
      <c r="Z207" s="1026"/>
    </row>
    <row r="208" spans="1:26">
      <c r="A208" s="1026"/>
      <c r="B208" s="1026"/>
      <c r="C208" s="1026"/>
      <c r="D208" s="1026"/>
      <c r="E208" s="1026"/>
      <c r="F208" s="1026"/>
      <c r="G208" s="1026"/>
      <c r="H208" s="1026"/>
      <c r="I208" s="1026"/>
      <c r="J208" s="1026"/>
      <c r="K208" s="1026"/>
      <c r="L208" s="1026"/>
      <c r="M208" s="1026"/>
      <c r="N208" s="1026"/>
      <c r="O208" s="1026"/>
      <c r="P208" s="1026"/>
      <c r="Q208" s="1026"/>
      <c r="R208" s="1026"/>
      <c r="S208" s="1026"/>
      <c r="T208" s="1026"/>
      <c r="U208" s="1026"/>
      <c r="V208" s="1026"/>
      <c r="W208" s="1026"/>
      <c r="X208" s="1026"/>
      <c r="Y208" s="1026"/>
      <c r="Z208" s="1026"/>
    </row>
    <row r="209" spans="1:26">
      <c r="A209" s="1026"/>
      <c r="B209" s="1026"/>
      <c r="C209" s="1026"/>
      <c r="D209" s="1026"/>
      <c r="E209" s="1026"/>
      <c r="F209" s="1026"/>
      <c r="G209" s="1026"/>
      <c r="H209" s="1026"/>
      <c r="I209" s="1026"/>
      <c r="J209" s="1026"/>
      <c r="K209" s="1026"/>
      <c r="L209" s="1026"/>
      <c r="M209" s="1026"/>
      <c r="N209" s="1026"/>
      <c r="O209" s="1026"/>
      <c r="P209" s="1026"/>
      <c r="Q209" s="1026"/>
      <c r="R209" s="1026"/>
      <c r="S209" s="1026"/>
      <c r="T209" s="1026"/>
      <c r="U209" s="1026"/>
      <c r="V209" s="1026"/>
      <c r="W209" s="1026"/>
      <c r="X209" s="1026"/>
      <c r="Y209" s="1026"/>
      <c r="Z209" s="1026"/>
    </row>
    <row r="210" spans="1:26">
      <c r="A210" s="1026"/>
      <c r="B210" s="1026"/>
      <c r="C210" s="1026"/>
      <c r="D210" s="1026"/>
      <c r="E210" s="1026"/>
      <c r="F210" s="1026"/>
      <c r="G210" s="1026"/>
      <c r="H210" s="1026"/>
      <c r="I210" s="1026"/>
      <c r="J210" s="1026"/>
      <c r="K210" s="1026"/>
      <c r="L210" s="1026"/>
      <c r="M210" s="1026"/>
      <c r="N210" s="1026"/>
      <c r="O210" s="1026"/>
      <c r="P210" s="1026"/>
      <c r="Q210" s="1026"/>
      <c r="R210" s="1026"/>
      <c r="S210" s="1026"/>
      <c r="T210" s="1026"/>
      <c r="U210" s="1026"/>
      <c r="V210" s="1026"/>
      <c r="W210" s="1026"/>
      <c r="X210" s="1026"/>
      <c r="Y210" s="1026"/>
      <c r="Z210" s="1026"/>
    </row>
    <row r="211" spans="1:26">
      <c r="A211" s="1026"/>
      <c r="B211" s="1026"/>
      <c r="C211" s="1026"/>
      <c r="D211" s="1026"/>
      <c r="E211" s="1026"/>
      <c r="F211" s="1026"/>
      <c r="G211" s="1026"/>
      <c r="H211" s="1026"/>
      <c r="I211" s="1026"/>
      <c r="J211" s="1026"/>
      <c r="K211" s="1026"/>
      <c r="L211" s="1026"/>
      <c r="M211" s="1026"/>
      <c r="N211" s="1026"/>
      <c r="O211" s="1026"/>
      <c r="P211" s="1026"/>
      <c r="Q211" s="1026"/>
      <c r="R211" s="1026"/>
      <c r="S211" s="1026"/>
      <c r="T211" s="1026"/>
      <c r="U211" s="1026"/>
      <c r="V211" s="1026"/>
      <c r="W211" s="1026"/>
      <c r="X211" s="1026"/>
      <c r="Y211" s="1026"/>
      <c r="Z211" s="1026"/>
    </row>
    <row r="212" spans="1:26">
      <c r="A212" s="1026"/>
      <c r="B212" s="1026"/>
      <c r="C212" s="1026"/>
      <c r="D212" s="1026"/>
      <c r="E212" s="1026"/>
      <c r="F212" s="1026"/>
      <c r="G212" s="1026"/>
      <c r="H212" s="1026"/>
      <c r="I212" s="1026"/>
      <c r="J212" s="1026"/>
      <c r="K212" s="1026"/>
      <c r="L212" s="1026"/>
      <c r="M212" s="1026"/>
      <c r="N212" s="1026"/>
      <c r="O212" s="1026"/>
      <c r="P212" s="1026"/>
      <c r="Q212" s="1026"/>
      <c r="R212" s="1026"/>
      <c r="S212" s="1026"/>
      <c r="T212" s="1026"/>
      <c r="U212" s="1026"/>
      <c r="V212" s="1026"/>
      <c r="W212" s="1026"/>
      <c r="X212" s="1026"/>
      <c r="Y212" s="1026"/>
      <c r="Z212" s="1026"/>
    </row>
    <row r="213" spans="1:26">
      <c r="A213" s="1026"/>
      <c r="B213" s="1026"/>
      <c r="C213" s="1026"/>
      <c r="D213" s="1026"/>
      <c r="E213" s="1026"/>
      <c r="F213" s="1026"/>
      <c r="G213" s="1026"/>
      <c r="H213" s="1026"/>
      <c r="I213" s="1026"/>
      <c r="J213" s="1026"/>
      <c r="K213" s="1026"/>
      <c r="L213" s="1026"/>
      <c r="M213" s="1026"/>
      <c r="N213" s="1026"/>
      <c r="O213" s="1026"/>
      <c r="P213" s="1026"/>
      <c r="Q213" s="1026"/>
      <c r="R213" s="1026"/>
      <c r="S213" s="1026"/>
      <c r="T213" s="1026"/>
      <c r="U213" s="1026"/>
      <c r="V213" s="1026"/>
      <c r="W213" s="1026"/>
      <c r="X213" s="1026"/>
      <c r="Y213" s="1026"/>
      <c r="Z213" s="1026"/>
    </row>
    <row r="214" spans="1:26">
      <c r="A214" s="1026"/>
      <c r="B214" s="1026"/>
      <c r="C214" s="1026"/>
      <c r="D214" s="1026"/>
      <c r="E214" s="1026"/>
      <c r="F214" s="1026"/>
      <c r="G214" s="1026"/>
      <c r="H214" s="1026"/>
      <c r="I214" s="1026"/>
      <c r="J214" s="1026"/>
      <c r="K214" s="1026"/>
      <c r="L214" s="1026"/>
      <c r="M214" s="1026"/>
      <c r="N214" s="1026"/>
      <c r="O214" s="1026"/>
      <c r="P214" s="1026"/>
      <c r="Q214" s="1026"/>
      <c r="R214" s="1026"/>
      <c r="S214" s="1026"/>
      <c r="T214" s="1026"/>
      <c r="U214" s="1026"/>
      <c r="V214" s="1026"/>
      <c r="W214" s="1026"/>
      <c r="X214" s="1026"/>
      <c r="Y214" s="1026"/>
      <c r="Z214" s="1026"/>
    </row>
    <row r="215" spans="1:26">
      <c r="A215" s="1026"/>
      <c r="B215" s="1026"/>
      <c r="C215" s="1026"/>
      <c r="D215" s="1026"/>
      <c r="E215" s="1026"/>
      <c r="F215" s="1026"/>
      <c r="G215" s="1026"/>
      <c r="H215" s="1026"/>
      <c r="I215" s="1026"/>
      <c r="J215" s="1026"/>
      <c r="K215" s="1026"/>
      <c r="L215" s="1026"/>
      <c r="M215" s="1026"/>
      <c r="N215" s="1026"/>
      <c r="O215" s="1026"/>
      <c r="P215" s="1026"/>
      <c r="Q215" s="1026"/>
      <c r="R215" s="1026"/>
      <c r="S215" s="1026"/>
      <c r="T215" s="1026"/>
      <c r="U215" s="1026"/>
      <c r="V215" s="1026"/>
      <c r="W215" s="1026"/>
      <c r="X215" s="1026"/>
      <c r="Y215" s="1026"/>
      <c r="Z215" s="1026"/>
    </row>
    <row r="216" spans="1:26">
      <c r="A216" s="1026"/>
      <c r="B216" s="1026"/>
      <c r="C216" s="1026"/>
      <c r="D216" s="1026"/>
      <c r="E216" s="1026"/>
      <c r="F216" s="1026"/>
      <c r="G216" s="1026"/>
      <c r="H216" s="1026"/>
      <c r="I216" s="1026"/>
      <c r="J216" s="1026"/>
      <c r="K216" s="1026"/>
      <c r="L216" s="1026"/>
      <c r="M216" s="1026"/>
      <c r="N216" s="1026"/>
      <c r="O216" s="1026"/>
      <c r="P216" s="1026"/>
      <c r="Q216" s="1026"/>
      <c r="R216" s="1026"/>
      <c r="S216" s="1026"/>
      <c r="T216" s="1026"/>
      <c r="U216" s="1026"/>
      <c r="V216" s="1026"/>
      <c r="W216" s="1026"/>
      <c r="X216" s="1026"/>
      <c r="Y216" s="1026"/>
      <c r="Z216" s="1026"/>
    </row>
    <row r="217" spans="1:26">
      <c r="A217" s="1026"/>
      <c r="B217" s="1026"/>
      <c r="C217" s="1026"/>
      <c r="D217" s="1026"/>
      <c r="E217" s="1026"/>
      <c r="F217" s="1026"/>
      <c r="G217" s="1026"/>
      <c r="H217" s="1026"/>
      <c r="I217" s="1026"/>
      <c r="J217" s="1026"/>
      <c r="K217" s="1026"/>
      <c r="L217" s="1026"/>
      <c r="M217" s="1026"/>
      <c r="N217" s="1026"/>
      <c r="O217" s="1026"/>
      <c r="P217" s="1026"/>
      <c r="Q217" s="1026"/>
      <c r="R217" s="1026"/>
      <c r="S217" s="1026"/>
      <c r="T217" s="1026"/>
      <c r="U217" s="1026"/>
      <c r="V217" s="1026"/>
      <c r="W217" s="1026"/>
      <c r="X217" s="1026"/>
      <c r="Y217" s="1026"/>
      <c r="Z217" s="1026"/>
    </row>
    <row r="218" spans="1:26">
      <c r="A218" s="1026"/>
      <c r="B218" s="1026"/>
      <c r="C218" s="1026"/>
      <c r="D218" s="1026"/>
      <c r="E218" s="1026"/>
      <c r="F218" s="1026"/>
      <c r="G218" s="1026"/>
      <c r="H218" s="1026"/>
      <c r="I218" s="1026"/>
      <c r="J218" s="1026"/>
      <c r="K218" s="1026"/>
      <c r="L218" s="1026"/>
      <c r="M218" s="1026"/>
      <c r="N218" s="1026"/>
      <c r="O218" s="1026"/>
      <c r="P218" s="1026"/>
      <c r="Q218" s="1026"/>
      <c r="R218" s="1026"/>
      <c r="S218" s="1026"/>
      <c r="T218" s="1026"/>
      <c r="U218" s="1026"/>
      <c r="V218" s="1026"/>
      <c r="W218" s="1026"/>
      <c r="X218" s="1026"/>
      <c r="Y218" s="1026"/>
      <c r="Z218" s="1026"/>
    </row>
    <row r="219" spans="1:26">
      <c r="A219" s="1026"/>
      <c r="B219" s="1026"/>
      <c r="C219" s="1026"/>
      <c r="D219" s="1026"/>
      <c r="E219" s="1026"/>
      <c r="F219" s="1026"/>
      <c r="G219" s="1026"/>
      <c r="H219" s="1026"/>
      <c r="I219" s="1026"/>
      <c r="J219" s="1026"/>
      <c r="K219" s="1026"/>
      <c r="L219" s="1026"/>
      <c r="M219" s="1026"/>
      <c r="N219" s="1026"/>
      <c r="O219" s="1026"/>
      <c r="P219" s="1026"/>
      <c r="Q219" s="1026"/>
      <c r="R219" s="1026"/>
      <c r="S219" s="1026"/>
      <c r="T219" s="1026"/>
      <c r="U219" s="1026"/>
      <c r="V219" s="1026"/>
      <c r="W219" s="1026"/>
      <c r="X219" s="1026"/>
      <c r="Y219" s="1026"/>
      <c r="Z219" s="1026"/>
    </row>
    <row r="220" spans="1:26">
      <c r="A220" s="1026"/>
      <c r="B220" s="1026"/>
      <c r="C220" s="1026"/>
      <c r="D220" s="1026"/>
      <c r="E220" s="1026"/>
      <c r="F220" s="1026"/>
      <c r="G220" s="1026"/>
      <c r="H220" s="1026"/>
      <c r="I220" s="1026"/>
      <c r="J220" s="1026"/>
      <c r="K220" s="1026"/>
      <c r="L220" s="1026"/>
      <c r="M220" s="1026"/>
      <c r="N220" s="1026"/>
      <c r="O220" s="1026"/>
      <c r="P220" s="1026"/>
      <c r="Q220" s="1026"/>
      <c r="R220" s="1026"/>
      <c r="S220" s="1026"/>
      <c r="T220" s="1026"/>
      <c r="U220" s="1026"/>
      <c r="V220" s="1026"/>
      <c r="W220" s="1026"/>
      <c r="X220" s="1026"/>
      <c r="Y220" s="1026"/>
      <c r="Z220" s="1026"/>
    </row>
    <row r="221" spans="1:26">
      <c r="A221" s="1026"/>
      <c r="B221" s="1026"/>
      <c r="C221" s="1026"/>
      <c r="D221" s="1026"/>
      <c r="E221" s="1026"/>
      <c r="F221" s="1026"/>
      <c r="G221" s="1026"/>
      <c r="H221" s="1026"/>
      <c r="I221" s="1026"/>
      <c r="J221" s="1026"/>
      <c r="K221" s="1026"/>
      <c r="L221" s="1026"/>
      <c r="M221" s="1026"/>
      <c r="N221" s="1026"/>
      <c r="O221" s="1026"/>
      <c r="P221" s="1026"/>
      <c r="Q221" s="1026"/>
      <c r="R221" s="1026"/>
      <c r="S221" s="1026"/>
      <c r="T221" s="1026"/>
      <c r="U221" s="1026"/>
      <c r="V221" s="1026"/>
      <c r="W221" s="1026"/>
      <c r="X221" s="1026"/>
      <c r="Y221" s="1026"/>
      <c r="Z221" s="1026"/>
    </row>
    <row r="222" spans="1:26">
      <c r="A222" s="1026"/>
      <c r="B222" s="1026"/>
      <c r="C222" s="1026"/>
      <c r="D222" s="1026"/>
      <c r="E222" s="1026"/>
      <c r="F222" s="1026"/>
      <c r="G222" s="1026"/>
      <c r="H222" s="1026"/>
      <c r="I222" s="1026"/>
      <c r="J222" s="1026"/>
      <c r="K222" s="1026"/>
      <c r="L222" s="1026"/>
      <c r="M222" s="1026"/>
      <c r="N222" s="1026"/>
      <c r="O222" s="1026"/>
      <c r="P222" s="1026"/>
      <c r="Q222" s="1026"/>
      <c r="R222" s="1026"/>
      <c r="S222" s="1026"/>
      <c r="T222" s="1026"/>
      <c r="U222" s="1026"/>
      <c r="V222" s="1026"/>
      <c r="W222" s="1026"/>
      <c r="X222" s="1026"/>
      <c r="Y222" s="1026"/>
      <c r="Z222" s="1026"/>
    </row>
    <row r="223" spans="1:26">
      <c r="A223" s="1026"/>
      <c r="B223" s="1026"/>
      <c r="C223" s="1026"/>
      <c r="D223" s="1026"/>
      <c r="E223" s="1026"/>
      <c r="F223" s="1026"/>
      <c r="G223" s="1026"/>
      <c r="H223" s="1026"/>
      <c r="I223" s="1026"/>
      <c r="J223" s="1026"/>
      <c r="K223" s="1026"/>
      <c r="L223" s="1026"/>
      <c r="M223" s="1026"/>
      <c r="N223" s="1026"/>
      <c r="O223" s="1026"/>
      <c r="P223" s="1026"/>
      <c r="Q223" s="1026"/>
      <c r="R223" s="1026"/>
      <c r="S223" s="1026"/>
      <c r="T223" s="1026"/>
      <c r="U223" s="1026"/>
      <c r="V223" s="1026"/>
      <c r="W223" s="1026"/>
      <c r="X223" s="1026"/>
      <c r="Y223" s="1026"/>
      <c r="Z223" s="1026"/>
    </row>
    <row r="224" spans="1:26">
      <c r="A224" s="1026"/>
      <c r="B224" s="1026"/>
      <c r="C224" s="1026"/>
      <c r="D224" s="1026"/>
      <c r="E224" s="1026"/>
      <c r="F224" s="1026"/>
      <c r="G224" s="1026"/>
      <c r="H224" s="1026"/>
      <c r="I224" s="1026"/>
      <c r="J224" s="1026"/>
      <c r="K224" s="1026"/>
      <c r="L224" s="1026"/>
      <c r="M224" s="1026"/>
      <c r="N224" s="1026"/>
      <c r="O224" s="1026"/>
      <c r="P224" s="1026"/>
      <c r="Q224" s="1026"/>
      <c r="R224" s="1026"/>
      <c r="S224" s="1026"/>
      <c r="T224" s="1026"/>
      <c r="U224" s="1026"/>
      <c r="V224" s="1026"/>
      <c r="W224" s="1026"/>
      <c r="X224" s="1026"/>
      <c r="Y224" s="1026"/>
      <c r="Z224" s="1026"/>
    </row>
    <row r="225" spans="1:26">
      <c r="A225" s="1026"/>
      <c r="B225" s="1026"/>
      <c r="C225" s="1026"/>
      <c r="D225" s="1026"/>
      <c r="E225" s="1026"/>
      <c r="F225" s="1026"/>
      <c r="G225" s="1026"/>
      <c r="H225" s="1026"/>
      <c r="I225" s="1026"/>
      <c r="J225" s="1026"/>
      <c r="K225" s="1026"/>
      <c r="L225" s="1026"/>
      <c r="M225" s="1026"/>
      <c r="N225" s="1026"/>
      <c r="O225" s="1026"/>
      <c r="P225" s="1026"/>
      <c r="Q225" s="1026"/>
      <c r="R225" s="1026"/>
      <c r="S225" s="1026"/>
      <c r="T225" s="1026"/>
      <c r="U225" s="1026"/>
      <c r="V225" s="1026"/>
      <c r="W225" s="1026"/>
      <c r="X225" s="1026"/>
      <c r="Y225" s="1026"/>
      <c r="Z225" s="1026"/>
    </row>
    <row r="226" spans="1:26">
      <c r="A226" s="1026"/>
      <c r="B226" s="1026"/>
      <c r="C226" s="1026"/>
      <c r="D226" s="1026"/>
      <c r="E226" s="1026"/>
      <c r="F226" s="1026"/>
      <c r="G226" s="1026"/>
      <c r="H226" s="1026"/>
      <c r="I226" s="1026"/>
      <c r="J226" s="1026"/>
      <c r="K226" s="1026"/>
      <c r="L226" s="1026"/>
      <c r="M226" s="1026"/>
      <c r="N226" s="1026"/>
      <c r="O226" s="1026"/>
      <c r="P226" s="1026"/>
      <c r="Q226" s="1026"/>
      <c r="R226" s="1026"/>
      <c r="S226" s="1026"/>
      <c r="T226" s="1026"/>
      <c r="U226" s="1026"/>
      <c r="V226" s="1026"/>
      <c r="W226" s="1026"/>
      <c r="X226" s="1026"/>
      <c r="Y226" s="1026"/>
      <c r="Z226" s="1026"/>
    </row>
    <row r="227" spans="1:26">
      <c r="A227" s="1026"/>
      <c r="B227" s="1026"/>
      <c r="C227" s="1026"/>
      <c r="D227" s="1026"/>
      <c r="E227" s="1026"/>
      <c r="F227" s="1026"/>
      <c r="G227" s="1026"/>
      <c r="H227" s="1026"/>
      <c r="I227" s="1026"/>
      <c r="J227" s="1026"/>
      <c r="K227" s="1026"/>
      <c r="L227" s="1026"/>
      <c r="M227" s="1026"/>
      <c r="N227" s="1026"/>
      <c r="O227" s="1026"/>
      <c r="P227" s="1026"/>
      <c r="Q227" s="1026"/>
      <c r="R227" s="1026"/>
      <c r="S227" s="1026"/>
      <c r="T227" s="1026"/>
      <c r="U227" s="1026"/>
      <c r="V227" s="1026"/>
      <c r="W227" s="1026"/>
      <c r="X227" s="1026"/>
      <c r="Y227" s="1026"/>
      <c r="Z227" s="1026"/>
    </row>
    <row r="228" spans="1:26">
      <c r="A228" s="1026"/>
      <c r="B228" s="1026"/>
      <c r="C228" s="1026"/>
      <c r="D228" s="1026"/>
      <c r="E228" s="1026"/>
      <c r="F228" s="1026"/>
      <c r="G228" s="1026"/>
      <c r="H228" s="1026"/>
      <c r="I228" s="1026"/>
      <c r="J228" s="1026"/>
      <c r="K228" s="1026"/>
      <c r="L228" s="1026"/>
      <c r="M228" s="1026"/>
      <c r="N228" s="1026"/>
      <c r="O228" s="1026"/>
      <c r="P228" s="1026"/>
      <c r="Q228" s="1026"/>
      <c r="R228" s="1026"/>
      <c r="S228" s="1026"/>
      <c r="T228" s="1026"/>
      <c r="U228" s="1026"/>
      <c r="V228" s="1026"/>
      <c r="W228" s="1026"/>
      <c r="X228" s="1026"/>
      <c r="Y228" s="1026"/>
      <c r="Z228" s="1026"/>
    </row>
    <row r="229" spans="1:26">
      <c r="A229" s="1026"/>
      <c r="B229" s="1026"/>
      <c r="C229" s="1026"/>
      <c r="D229" s="1026"/>
      <c r="E229" s="1026"/>
      <c r="F229" s="1026"/>
      <c r="G229" s="1026"/>
      <c r="H229" s="1026"/>
      <c r="I229" s="1026"/>
      <c r="J229" s="1026"/>
      <c r="K229" s="1026"/>
      <c r="L229" s="1026"/>
      <c r="M229" s="1026"/>
      <c r="N229" s="1026"/>
      <c r="O229" s="1026"/>
      <c r="P229" s="1026"/>
      <c r="Q229" s="1026"/>
      <c r="R229" s="1026"/>
      <c r="S229" s="1026"/>
      <c r="T229" s="1026"/>
      <c r="U229" s="1026"/>
      <c r="V229" s="1026"/>
      <c r="W229" s="1026"/>
      <c r="X229" s="1026"/>
      <c r="Y229" s="1026"/>
      <c r="Z229" s="1026"/>
    </row>
    <row r="230" spans="1:26">
      <c r="A230" s="1026"/>
      <c r="B230" s="1026"/>
      <c r="C230" s="1026"/>
      <c r="D230" s="1026"/>
      <c r="E230" s="1026"/>
      <c r="F230" s="1026"/>
      <c r="G230" s="1026"/>
      <c r="H230" s="1026"/>
      <c r="I230" s="1026"/>
      <c r="J230" s="1026"/>
      <c r="K230" s="1026"/>
      <c r="L230" s="1026"/>
      <c r="M230" s="1026"/>
      <c r="N230" s="1026"/>
      <c r="O230" s="1026"/>
      <c r="P230" s="1026"/>
      <c r="Q230" s="1026"/>
      <c r="R230" s="1026"/>
      <c r="S230" s="1026"/>
      <c r="T230" s="1026"/>
      <c r="U230" s="1026"/>
      <c r="V230" s="1026"/>
      <c r="W230" s="1026"/>
      <c r="X230" s="1026"/>
      <c r="Y230" s="1026"/>
      <c r="Z230" s="1026"/>
    </row>
    <row r="231" spans="1:26">
      <c r="A231" s="1026"/>
      <c r="B231" s="1026"/>
      <c r="C231" s="1026"/>
      <c r="D231" s="1026"/>
      <c r="E231" s="1026"/>
      <c r="F231" s="1026"/>
      <c r="G231" s="1026"/>
      <c r="H231" s="1026"/>
      <c r="I231" s="1026"/>
      <c r="J231" s="1026"/>
      <c r="K231" s="1026"/>
      <c r="L231" s="1026"/>
      <c r="M231" s="1026"/>
      <c r="N231" s="1026"/>
      <c r="O231" s="1026"/>
      <c r="P231" s="1026"/>
      <c r="Q231" s="1026"/>
      <c r="R231" s="1026"/>
      <c r="S231" s="1026"/>
      <c r="T231" s="1026"/>
      <c r="U231" s="1026"/>
      <c r="V231" s="1026"/>
      <c r="W231" s="1026"/>
      <c r="X231" s="1026"/>
      <c r="Y231" s="1026"/>
      <c r="Z231" s="1026"/>
    </row>
    <row r="232" spans="1:26">
      <c r="A232" s="1026"/>
      <c r="B232" s="1026"/>
      <c r="C232" s="1026"/>
      <c r="D232" s="1026"/>
      <c r="E232" s="1026"/>
      <c r="F232" s="1026"/>
      <c r="G232" s="1026"/>
      <c r="H232" s="1026"/>
      <c r="I232" s="1026"/>
      <c r="J232" s="1026"/>
      <c r="K232" s="1026"/>
      <c r="L232" s="1026"/>
      <c r="M232" s="1026"/>
      <c r="N232" s="1026"/>
      <c r="O232" s="1026"/>
      <c r="P232" s="1026"/>
      <c r="Q232" s="1026"/>
      <c r="R232" s="1026"/>
      <c r="S232" s="1026"/>
      <c r="T232" s="1026"/>
      <c r="U232" s="1026"/>
      <c r="V232" s="1026"/>
      <c r="W232" s="1026"/>
      <c r="X232" s="1026"/>
      <c r="Y232" s="1026"/>
      <c r="Z232" s="1026"/>
    </row>
    <row r="233" spans="1:26">
      <c r="A233" s="1026"/>
      <c r="B233" s="1026"/>
      <c r="C233" s="1026"/>
      <c r="D233" s="1026"/>
      <c r="E233" s="1026"/>
      <c r="F233" s="1026"/>
      <c r="G233" s="1026"/>
      <c r="H233" s="1026"/>
      <c r="I233" s="1026"/>
      <c r="J233" s="1026"/>
      <c r="K233" s="1026"/>
      <c r="L233" s="1026"/>
      <c r="M233" s="1026"/>
      <c r="N233" s="1026"/>
      <c r="O233" s="1026"/>
      <c r="P233" s="1026"/>
      <c r="Q233" s="1026"/>
      <c r="R233" s="1026"/>
      <c r="S233" s="1026"/>
      <c r="T233" s="1026"/>
      <c r="U233" s="1026"/>
      <c r="V233" s="1026"/>
      <c r="W233" s="1026"/>
      <c r="X233" s="1026"/>
      <c r="Y233" s="1026"/>
      <c r="Z233" s="1026"/>
    </row>
    <row r="234" spans="1:26">
      <c r="A234" s="1026"/>
      <c r="B234" s="1026"/>
      <c r="C234" s="1026"/>
      <c r="D234" s="1026"/>
      <c r="E234" s="1026"/>
      <c r="F234" s="1026"/>
      <c r="G234" s="1026"/>
      <c r="H234" s="1026"/>
      <c r="I234" s="1026"/>
      <c r="J234" s="1026"/>
      <c r="K234" s="1026"/>
      <c r="L234" s="1026"/>
      <c r="M234" s="1026"/>
      <c r="N234" s="1026"/>
      <c r="O234" s="1026"/>
      <c r="P234" s="1026"/>
      <c r="Q234" s="1026"/>
      <c r="R234" s="1026"/>
      <c r="S234" s="1026"/>
      <c r="T234" s="1026"/>
      <c r="U234" s="1026"/>
      <c r="V234" s="1026"/>
      <c r="W234" s="1026"/>
      <c r="X234" s="1026"/>
      <c r="Y234" s="1026"/>
      <c r="Z234" s="1026"/>
    </row>
    <row r="235" spans="1:26">
      <c r="A235" s="1026"/>
      <c r="B235" s="1026"/>
      <c r="C235" s="1026"/>
      <c r="D235" s="1026"/>
      <c r="E235" s="1026"/>
      <c r="F235" s="1026"/>
      <c r="G235" s="1026"/>
      <c r="H235" s="1026"/>
      <c r="I235" s="1026"/>
      <c r="J235" s="1026"/>
      <c r="K235" s="1026"/>
      <c r="L235" s="1026"/>
      <c r="M235" s="1026"/>
      <c r="N235" s="1026"/>
      <c r="O235" s="1026"/>
      <c r="P235" s="1026"/>
      <c r="Q235" s="1026"/>
      <c r="R235" s="1026"/>
      <c r="S235" s="1026"/>
      <c r="T235" s="1026"/>
      <c r="U235" s="1026"/>
      <c r="V235" s="1026"/>
      <c r="W235" s="1026"/>
      <c r="X235" s="1026"/>
      <c r="Y235" s="1026"/>
      <c r="Z235" s="1026"/>
    </row>
    <row r="236" spans="1:26">
      <c r="A236" s="1026"/>
      <c r="B236" s="1026"/>
      <c r="C236" s="1026"/>
      <c r="D236" s="1026"/>
      <c r="E236" s="1026"/>
      <c r="F236" s="1026"/>
      <c r="G236" s="1026"/>
      <c r="H236" s="1026"/>
      <c r="I236" s="1026"/>
      <c r="J236" s="1026"/>
      <c r="K236" s="1026"/>
      <c r="L236" s="1026"/>
      <c r="M236" s="1026"/>
      <c r="N236" s="1026"/>
      <c r="O236" s="1026"/>
      <c r="P236" s="1026"/>
      <c r="Q236" s="1026"/>
      <c r="R236" s="1026"/>
      <c r="S236" s="1026"/>
      <c r="T236" s="1026"/>
      <c r="U236" s="1026"/>
      <c r="V236" s="1026"/>
      <c r="W236" s="1026"/>
      <c r="X236" s="1026"/>
      <c r="Y236" s="1026"/>
      <c r="Z236" s="1026"/>
    </row>
    <row r="237" spans="1:26">
      <c r="A237" s="1026"/>
      <c r="B237" s="1026"/>
      <c r="C237" s="1026"/>
      <c r="D237" s="1026"/>
      <c r="E237" s="1026"/>
      <c r="F237" s="1026"/>
      <c r="G237" s="1026"/>
      <c r="H237" s="1026"/>
      <c r="I237" s="1026"/>
      <c r="J237" s="1026"/>
      <c r="K237" s="1026"/>
      <c r="L237" s="1026"/>
      <c r="M237" s="1026"/>
      <c r="N237" s="1026"/>
      <c r="O237" s="1026"/>
      <c r="P237" s="1026"/>
      <c r="Q237" s="1026"/>
      <c r="R237" s="1026"/>
      <c r="S237" s="1026"/>
      <c r="T237" s="1026"/>
      <c r="U237" s="1026"/>
      <c r="V237" s="1026"/>
      <c r="W237" s="1026"/>
      <c r="X237" s="1026"/>
      <c r="Y237" s="1026"/>
      <c r="Z237" s="1026"/>
    </row>
    <row r="238" spans="1:26">
      <c r="A238" s="1026"/>
      <c r="B238" s="1026"/>
      <c r="C238" s="1026"/>
      <c r="D238" s="1026"/>
      <c r="E238" s="1026"/>
      <c r="F238" s="1026"/>
      <c r="G238" s="1026"/>
      <c r="H238" s="1026"/>
      <c r="I238" s="1026"/>
      <c r="J238" s="1026"/>
      <c r="K238" s="1026"/>
      <c r="L238" s="1026"/>
      <c r="M238" s="1026"/>
      <c r="N238" s="1026"/>
      <c r="O238" s="1026"/>
      <c r="P238" s="1026"/>
      <c r="Q238" s="1026"/>
      <c r="R238" s="1026"/>
      <c r="S238" s="1026"/>
      <c r="T238" s="1026"/>
      <c r="U238" s="1026"/>
      <c r="V238" s="1026"/>
      <c r="W238" s="1026"/>
      <c r="X238" s="1026"/>
      <c r="Y238" s="1026"/>
      <c r="Z238" s="1026"/>
    </row>
    <row r="239" spans="1:26">
      <c r="A239" s="1026"/>
      <c r="B239" s="1026"/>
      <c r="C239" s="1026"/>
      <c r="D239" s="1026"/>
      <c r="E239" s="1026"/>
      <c r="F239" s="1026"/>
      <c r="G239" s="1026"/>
      <c r="H239" s="1026"/>
      <c r="I239" s="1026"/>
      <c r="J239" s="1026"/>
      <c r="K239" s="1026"/>
      <c r="L239" s="1026"/>
      <c r="M239" s="1026"/>
      <c r="N239" s="1026"/>
      <c r="O239" s="1026"/>
      <c r="P239" s="1026"/>
      <c r="Q239" s="1026"/>
      <c r="R239" s="1026"/>
      <c r="S239" s="1026"/>
      <c r="T239" s="1026"/>
      <c r="U239" s="1026"/>
      <c r="V239" s="1026"/>
      <c r="W239" s="1026"/>
      <c r="X239" s="1026"/>
      <c r="Y239" s="1026"/>
      <c r="Z239" s="1026"/>
    </row>
    <row r="240" spans="1:26">
      <c r="A240" s="1026"/>
      <c r="B240" s="1026"/>
      <c r="C240" s="1026"/>
      <c r="D240" s="1026"/>
      <c r="E240" s="1026"/>
      <c r="F240" s="1026"/>
      <c r="G240" s="1026"/>
      <c r="H240" s="1026"/>
      <c r="I240" s="1026"/>
      <c r="J240" s="1026"/>
      <c r="K240" s="1026"/>
      <c r="L240" s="1026"/>
      <c r="M240" s="1026"/>
      <c r="N240" s="1026"/>
      <c r="O240" s="1026"/>
      <c r="P240" s="1026"/>
      <c r="Q240" s="1026"/>
      <c r="R240" s="1026"/>
      <c r="S240" s="1026"/>
      <c r="T240" s="1026"/>
      <c r="U240" s="1026"/>
      <c r="V240" s="1026"/>
      <c r="W240" s="1026"/>
      <c r="X240" s="1026"/>
      <c r="Y240" s="1026"/>
      <c r="Z240" s="1026"/>
    </row>
    <row r="241" spans="1:26">
      <c r="A241" s="1026"/>
      <c r="B241" s="1026"/>
      <c r="C241" s="1026"/>
      <c r="D241" s="1026"/>
      <c r="E241" s="1026"/>
      <c r="F241" s="1026"/>
      <c r="G241" s="1026"/>
      <c r="H241" s="1026"/>
      <c r="I241" s="1026"/>
      <c r="J241" s="1026"/>
      <c r="K241" s="1026"/>
      <c r="L241" s="1026"/>
      <c r="M241" s="1026"/>
      <c r="N241" s="1026"/>
      <c r="O241" s="1026"/>
      <c r="P241" s="1026"/>
      <c r="Q241" s="1026"/>
      <c r="R241" s="1026"/>
      <c r="S241" s="1026"/>
      <c r="T241" s="1026"/>
      <c r="U241" s="1026"/>
      <c r="V241" s="1026"/>
      <c r="W241" s="1026"/>
      <c r="X241" s="1026"/>
      <c r="Y241" s="1026"/>
      <c r="Z241" s="1026"/>
    </row>
    <row r="242" spans="1:26">
      <c r="A242" s="1026"/>
      <c r="B242" s="1026"/>
      <c r="C242" s="1026"/>
      <c r="D242" s="1026"/>
      <c r="E242" s="1026"/>
      <c r="F242" s="1026"/>
      <c r="G242" s="1026"/>
      <c r="H242" s="1026"/>
      <c r="I242" s="1026"/>
      <c r="J242" s="1026"/>
      <c r="K242" s="1026"/>
      <c r="L242" s="1026"/>
      <c r="M242" s="1026"/>
      <c r="N242" s="1026"/>
      <c r="O242" s="1026"/>
      <c r="P242" s="1026"/>
      <c r="Q242" s="1026"/>
      <c r="R242" s="1026"/>
      <c r="S242" s="1026"/>
      <c r="T242" s="1026"/>
      <c r="U242" s="1026"/>
      <c r="V242" s="1026"/>
      <c r="W242" s="1026"/>
      <c r="X242" s="1026"/>
      <c r="Y242" s="1026"/>
      <c r="Z242" s="1026"/>
    </row>
    <row r="243" spans="1:26">
      <c r="A243" s="1026"/>
      <c r="B243" s="1026"/>
      <c r="C243" s="1026"/>
      <c r="D243" s="1026"/>
      <c r="E243" s="1026"/>
      <c r="F243" s="1026"/>
      <c r="G243" s="1026"/>
      <c r="H243" s="1026"/>
      <c r="I243" s="1026"/>
      <c r="J243" s="1026"/>
      <c r="K243" s="1026"/>
      <c r="L243" s="1026"/>
      <c r="M243" s="1026"/>
      <c r="N243" s="1026"/>
      <c r="O243" s="1026"/>
      <c r="P243" s="1026"/>
      <c r="Q243" s="1026"/>
      <c r="R243" s="1026"/>
      <c r="S243" s="1026"/>
      <c r="T243" s="1026"/>
      <c r="U243" s="1026"/>
      <c r="V243" s="1026"/>
      <c r="W243" s="1026"/>
      <c r="X243" s="1026"/>
      <c r="Y243" s="1026"/>
      <c r="Z243" s="1026"/>
    </row>
    <row r="244" spans="1:26">
      <c r="A244" s="1026"/>
      <c r="B244" s="1026"/>
      <c r="C244" s="1026"/>
      <c r="D244" s="1026"/>
      <c r="E244" s="1026"/>
      <c r="F244" s="1026"/>
      <c r="G244" s="1026"/>
      <c r="H244" s="1026"/>
      <c r="I244" s="1026"/>
      <c r="J244" s="1026"/>
      <c r="K244" s="1026"/>
      <c r="L244" s="1026"/>
      <c r="M244" s="1026"/>
      <c r="N244" s="1026"/>
      <c r="O244" s="1026"/>
      <c r="P244" s="1026"/>
      <c r="Q244" s="1026"/>
      <c r="R244" s="1026"/>
      <c r="S244" s="1026"/>
      <c r="T244" s="1026"/>
      <c r="U244" s="1026"/>
      <c r="V244" s="1026"/>
      <c r="W244" s="1026"/>
      <c r="X244" s="1026"/>
      <c r="Y244" s="1026"/>
      <c r="Z244" s="1026"/>
    </row>
    <row r="245" spans="1:26">
      <c r="A245" s="1026"/>
      <c r="B245" s="1026"/>
      <c r="C245" s="1026"/>
      <c r="D245" s="1026"/>
      <c r="E245" s="1026"/>
      <c r="F245" s="1026"/>
      <c r="G245" s="1026"/>
      <c r="H245" s="1026"/>
      <c r="I245" s="1026"/>
      <c r="J245" s="1026"/>
      <c r="K245" s="1026"/>
      <c r="L245" s="1026"/>
      <c r="M245" s="1026"/>
      <c r="N245" s="1026"/>
      <c r="O245" s="1026"/>
      <c r="P245" s="1026"/>
      <c r="Q245" s="1026"/>
      <c r="R245" s="1026"/>
      <c r="S245" s="1026"/>
      <c r="T245" s="1026"/>
      <c r="U245" s="1026"/>
      <c r="V245" s="1026"/>
      <c r="W245" s="1026"/>
      <c r="X245" s="1026"/>
      <c r="Y245" s="1026"/>
      <c r="Z245" s="1026"/>
    </row>
    <row r="246" spans="1:26">
      <c r="A246" s="1026"/>
      <c r="B246" s="1026"/>
      <c r="C246" s="1026"/>
      <c r="D246" s="1026"/>
      <c r="E246" s="1026"/>
      <c r="F246" s="1026"/>
      <c r="G246" s="1026"/>
      <c r="H246" s="1026"/>
      <c r="I246" s="1026"/>
      <c r="J246" s="1026"/>
      <c r="K246" s="1026"/>
      <c r="L246" s="1026"/>
      <c r="M246" s="1026"/>
      <c r="N246" s="1026"/>
      <c r="O246" s="1026"/>
      <c r="P246" s="1026"/>
      <c r="Q246" s="1026"/>
      <c r="R246" s="1026"/>
      <c r="S246" s="1026"/>
      <c r="T246" s="1026"/>
      <c r="U246" s="1026"/>
      <c r="V246" s="1026"/>
      <c r="W246" s="1026"/>
      <c r="X246" s="1026"/>
      <c r="Y246" s="1026"/>
      <c r="Z246" s="1026"/>
    </row>
    <row r="247" spans="1:26">
      <c r="A247" s="1026"/>
      <c r="B247" s="1026"/>
      <c r="C247" s="1026"/>
      <c r="D247" s="1026"/>
      <c r="E247" s="1026"/>
      <c r="F247" s="1026"/>
      <c r="G247" s="1026"/>
      <c r="H247" s="1026"/>
      <c r="I247" s="1026"/>
      <c r="J247" s="1026"/>
      <c r="K247" s="1026"/>
      <c r="L247" s="1026"/>
      <c r="M247" s="1026"/>
      <c r="N247" s="1026"/>
      <c r="O247" s="1026"/>
      <c r="P247" s="1026"/>
      <c r="Q247" s="1026"/>
      <c r="R247" s="1026"/>
      <c r="S247" s="1026"/>
      <c r="T247" s="1026"/>
      <c r="U247" s="1026"/>
      <c r="V247" s="1026"/>
      <c r="W247" s="1026"/>
      <c r="X247" s="1026"/>
      <c r="Y247" s="1026"/>
      <c r="Z247" s="1026"/>
    </row>
    <row r="248" spans="1:26">
      <c r="A248" s="1026"/>
      <c r="B248" s="1026"/>
      <c r="C248" s="1026"/>
      <c r="D248" s="1026"/>
      <c r="E248" s="1026"/>
      <c r="F248" s="1026"/>
      <c r="G248" s="1026"/>
      <c r="H248" s="1026"/>
      <c r="I248" s="1026"/>
      <c r="J248" s="1026"/>
      <c r="K248" s="1026"/>
      <c r="L248" s="1026"/>
      <c r="M248" s="1026"/>
      <c r="N248" s="1026"/>
      <c r="O248" s="1026"/>
      <c r="P248" s="1026"/>
      <c r="Q248" s="1026"/>
      <c r="R248" s="1026"/>
      <c r="S248" s="1026"/>
      <c r="T248" s="1026"/>
      <c r="U248" s="1026"/>
      <c r="V248" s="1026"/>
      <c r="W248" s="1026"/>
      <c r="X248" s="1026"/>
      <c r="Y248" s="1026"/>
      <c r="Z248" s="1026"/>
    </row>
    <row r="249" spans="1:26">
      <c r="A249" s="1026"/>
      <c r="B249" s="1026"/>
      <c r="C249" s="1026"/>
      <c r="D249" s="1026"/>
      <c r="E249" s="1026"/>
      <c r="F249" s="1026"/>
      <c r="G249" s="1026"/>
      <c r="H249" s="1026"/>
      <c r="I249" s="1026"/>
      <c r="J249" s="1026"/>
      <c r="K249" s="1026"/>
      <c r="L249" s="1026"/>
      <c r="M249" s="1026"/>
      <c r="N249" s="1026"/>
      <c r="O249" s="1026"/>
      <c r="P249" s="1026"/>
      <c r="Q249" s="1026"/>
      <c r="R249" s="1026"/>
      <c r="S249" s="1026"/>
      <c r="T249" s="1026"/>
      <c r="U249" s="1026"/>
      <c r="V249" s="1026"/>
      <c r="W249" s="1026"/>
      <c r="X249" s="1026"/>
      <c r="Y249" s="1026"/>
      <c r="Z249" s="1026"/>
    </row>
    <row r="250" spans="1:26">
      <c r="A250" s="1026"/>
      <c r="B250" s="1026"/>
      <c r="C250" s="1026"/>
      <c r="D250" s="1026"/>
      <c r="E250" s="1026"/>
      <c r="F250" s="1026"/>
      <c r="G250" s="1026"/>
      <c r="H250" s="1026"/>
      <c r="I250" s="1026"/>
      <c r="J250" s="1026"/>
      <c r="K250" s="1026"/>
      <c r="L250" s="1026"/>
      <c r="M250" s="1026"/>
      <c r="N250" s="1026"/>
      <c r="O250" s="1026"/>
      <c r="P250" s="1026"/>
      <c r="Q250" s="1026"/>
      <c r="R250" s="1026"/>
      <c r="S250" s="1026"/>
      <c r="T250" s="1026"/>
      <c r="U250" s="1026"/>
      <c r="V250" s="1026"/>
      <c r="W250" s="1026"/>
      <c r="X250" s="1026"/>
      <c r="Y250" s="1026"/>
      <c r="Z250" s="1026"/>
    </row>
    <row r="251" spans="1:26">
      <c r="A251" s="1026"/>
      <c r="B251" s="1026"/>
      <c r="C251" s="1026"/>
      <c r="D251" s="1026"/>
      <c r="E251" s="1026"/>
      <c r="F251" s="1026"/>
      <c r="G251" s="1026"/>
      <c r="H251" s="1026"/>
      <c r="I251" s="1026"/>
      <c r="J251" s="1026"/>
      <c r="K251" s="1026"/>
      <c r="L251" s="1026"/>
      <c r="M251" s="1026"/>
      <c r="N251" s="1026"/>
      <c r="O251" s="1026"/>
      <c r="P251" s="1026"/>
      <c r="Q251" s="1026"/>
      <c r="R251" s="1026"/>
      <c r="S251" s="1026"/>
      <c r="T251" s="1026"/>
      <c r="U251" s="1026"/>
      <c r="V251" s="1026"/>
      <c r="W251" s="1026"/>
      <c r="X251" s="1026"/>
      <c r="Y251" s="1026"/>
      <c r="Z251" s="1026"/>
    </row>
    <row r="252" spans="1:26">
      <c r="A252" s="1026"/>
      <c r="B252" s="1026"/>
      <c r="C252" s="1026"/>
      <c r="D252" s="1026"/>
      <c r="E252" s="1026"/>
      <c r="F252" s="1026"/>
      <c r="G252" s="1026"/>
      <c r="H252" s="1026"/>
      <c r="I252" s="1026"/>
      <c r="J252" s="1026"/>
      <c r="K252" s="1026"/>
      <c r="L252" s="1026"/>
      <c r="M252" s="1026"/>
      <c r="N252" s="1026"/>
      <c r="O252" s="1026"/>
      <c r="P252" s="1026"/>
      <c r="Q252" s="1026"/>
      <c r="R252" s="1026"/>
      <c r="S252" s="1026"/>
      <c r="T252" s="1026"/>
      <c r="U252" s="1026"/>
      <c r="V252" s="1026"/>
      <c r="W252" s="1026"/>
      <c r="X252" s="1026"/>
      <c r="Y252" s="1026"/>
      <c r="Z252" s="1026"/>
    </row>
    <row r="253" spans="1:26">
      <c r="A253" s="1026"/>
      <c r="B253" s="1026"/>
      <c r="C253" s="1026"/>
      <c r="D253" s="1026"/>
      <c r="E253" s="1026"/>
      <c r="F253" s="1026"/>
      <c r="G253" s="1026"/>
      <c r="H253" s="1026"/>
      <c r="I253" s="1026"/>
      <c r="J253" s="1026"/>
      <c r="K253" s="1026"/>
      <c r="L253" s="1026"/>
      <c r="M253" s="1026"/>
      <c r="N253" s="1026"/>
      <c r="O253" s="1026"/>
      <c r="P253" s="1026"/>
      <c r="Q253" s="1026"/>
      <c r="R253" s="1026"/>
      <c r="S253" s="1026"/>
      <c r="T253" s="1026"/>
      <c r="U253" s="1026"/>
      <c r="V253" s="1026"/>
      <c r="W253" s="1026"/>
      <c r="X253" s="1026"/>
      <c r="Y253" s="1026"/>
      <c r="Z253" s="1026"/>
    </row>
    <row r="254" spans="1:26">
      <c r="A254" s="1026"/>
      <c r="B254" s="1026"/>
      <c r="C254" s="1026"/>
      <c r="D254" s="1026"/>
      <c r="E254" s="1026"/>
      <c r="F254" s="1026"/>
      <c r="G254" s="1026"/>
      <c r="H254" s="1026"/>
      <c r="I254" s="1026"/>
      <c r="J254" s="1026"/>
      <c r="K254" s="1026"/>
      <c r="L254" s="1026"/>
      <c r="M254" s="1026"/>
      <c r="N254" s="1026"/>
      <c r="O254" s="1026"/>
      <c r="P254" s="1026"/>
      <c r="Q254" s="1026"/>
      <c r="R254" s="1026"/>
      <c r="S254" s="1026"/>
      <c r="T254" s="1026"/>
      <c r="U254" s="1026"/>
      <c r="V254" s="1026"/>
      <c r="W254" s="1026"/>
      <c r="X254" s="1026"/>
      <c r="Y254" s="1026"/>
      <c r="Z254" s="1026"/>
    </row>
    <row r="255" spans="1:26">
      <c r="A255" s="1026"/>
      <c r="B255" s="1026"/>
      <c r="C255" s="1026"/>
      <c r="D255" s="1026"/>
      <c r="E255" s="1026"/>
      <c r="F255" s="1026"/>
      <c r="G255" s="1026"/>
      <c r="H255" s="1026"/>
      <c r="I255" s="1026"/>
      <c r="J255" s="1026"/>
      <c r="K255" s="1026"/>
      <c r="L255" s="1026"/>
      <c r="M255" s="1026"/>
      <c r="N255" s="1026"/>
      <c r="O255" s="1026"/>
      <c r="P255" s="1026"/>
      <c r="Q255" s="1026"/>
      <c r="R255" s="1026"/>
      <c r="S255" s="1026"/>
      <c r="T255" s="1026"/>
      <c r="U255" s="1026"/>
      <c r="V255" s="1026"/>
      <c r="W255" s="1026"/>
      <c r="X255" s="1026"/>
      <c r="Y255" s="1026"/>
      <c r="Z255" s="1026"/>
    </row>
    <row r="256" spans="1:26">
      <c r="A256" s="1026"/>
      <c r="B256" s="1026"/>
      <c r="C256" s="1026"/>
      <c r="D256" s="1026"/>
      <c r="E256" s="1026"/>
      <c r="F256" s="1026"/>
      <c r="G256" s="1026"/>
      <c r="H256" s="1026"/>
      <c r="I256" s="1026"/>
      <c r="J256" s="1026"/>
      <c r="K256" s="1026"/>
      <c r="L256" s="1026"/>
      <c r="M256" s="1026"/>
      <c r="N256" s="1026"/>
      <c r="O256" s="1026"/>
      <c r="P256" s="1026"/>
      <c r="Q256" s="1026"/>
      <c r="R256" s="1026"/>
      <c r="S256" s="1026"/>
      <c r="T256" s="1026"/>
      <c r="U256" s="1026"/>
      <c r="V256" s="1026"/>
      <c r="W256" s="1026"/>
      <c r="X256" s="1026"/>
      <c r="Y256" s="1026"/>
      <c r="Z256" s="1026"/>
    </row>
    <row r="257" spans="1:26">
      <c r="A257" s="1026"/>
      <c r="B257" s="1026"/>
      <c r="C257" s="1026"/>
      <c r="D257" s="1026"/>
      <c r="E257" s="1026"/>
      <c r="F257" s="1026"/>
      <c r="G257" s="1026"/>
      <c r="H257" s="1026"/>
      <c r="I257" s="1026"/>
      <c r="J257" s="1026"/>
      <c r="K257" s="1026"/>
      <c r="L257" s="1026"/>
      <c r="M257" s="1026"/>
      <c r="N257" s="1026"/>
      <c r="O257" s="1026"/>
      <c r="P257" s="1026"/>
      <c r="Q257" s="1026"/>
      <c r="R257" s="1026"/>
      <c r="S257" s="1026"/>
      <c r="T257" s="1026"/>
      <c r="U257" s="1026"/>
      <c r="V257" s="1026"/>
      <c r="W257" s="1026"/>
      <c r="X257" s="1026"/>
      <c r="Y257" s="1026"/>
      <c r="Z257" s="1026"/>
    </row>
    <row r="258" spans="1:26">
      <c r="A258" s="1026"/>
      <c r="B258" s="1026"/>
      <c r="C258" s="1026"/>
      <c r="D258" s="1026"/>
      <c r="E258" s="1026"/>
      <c r="F258" s="1026"/>
      <c r="G258" s="1026"/>
      <c r="H258" s="1026"/>
      <c r="I258" s="1026"/>
      <c r="J258" s="1026"/>
      <c r="K258" s="1026"/>
      <c r="L258" s="1026"/>
      <c r="M258" s="1026"/>
      <c r="N258" s="1026"/>
      <c r="O258" s="1026"/>
      <c r="P258" s="1026"/>
      <c r="Q258" s="1026"/>
      <c r="R258" s="1026"/>
      <c r="S258" s="1026"/>
      <c r="T258" s="1026"/>
      <c r="U258" s="1026"/>
      <c r="V258" s="1026"/>
      <c r="W258" s="1026"/>
      <c r="X258" s="1026"/>
      <c r="Y258" s="1026"/>
      <c r="Z258" s="1026"/>
    </row>
    <row r="259" spans="1:26">
      <c r="A259" s="1026"/>
      <c r="B259" s="1026"/>
      <c r="C259" s="1026"/>
      <c r="D259" s="1026"/>
      <c r="E259" s="1026"/>
      <c r="F259" s="1026"/>
      <c r="G259" s="1026"/>
      <c r="H259" s="1026"/>
      <c r="I259" s="1026"/>
      <c r="J259" s="1026"/>
      <c r="K259" s="1026"/>
      <c r="L259" s="1026"/>
      <c r="M259" s="1026"/>
      <c r="N259" s="1026"/>
      <c r="O259" s="1026"/>
      <c r="P259" s="1026"/>
      <c r="Q259" s="1026"/>
      <c r="R259" s="1026"/>
      <c r="S259" s="1026"/>
      <c r="T259" s="1026"/>
      <c r="U259" s="1026"/>
      <c r="V259" s="1026"/>
      <c r="W259" s="1026"/>
      <c r="X259" s="1026"/>
      <c r="Y259" s="1026"/>
      <c r="Z259" s="1026"/>
    </row>
    <row r="260" spans="1:26">
      <c r="A260" s="1026"/>
      <c r="B260" s="1026"/>
      <c r="C260" s="1026"/>
      <c r="D260" s="1026"/>
      <c r="E260" s="1026"/>
      <c r="F260" s="1026"/>
      <c r="G260" s="1026"/>
      <c r="H260" s="1026"/>
      <c r="I260" s="1026"/>
      <c r="J260" s="1026"/>
      <c r="K260" s="1026"/>
      <c r="L260" s="1026"/>
      <c r="M260" s="1026"/>
      <c r="N260" s="1026"/>
      <c r="O260" s="1026"/>
      <c r="P260" s="1026"/>
      <c r="Q260" s="1026"/>
      <c r="R260" s="1026"/>
      <c r="S260" s="1026"/>
      <c r="T260" s="1026"/>
      <c r="U260" s="1026"/>
      <c r="V260" s="1026"/>
      <c r="W260" s="1026"/>
      <c r="X260" s="1026"/>
      <c r="Y260" s="1026"/>
      <c r="Z260" s="1026"/>
    </row>
    <row r="261" spans="1:26">
      <c r="A261" s="1026"/>
      <c r="B261" s="1026"/>
      <c r="C261" s="1026"/>
      <c r="D261" s="1026"/>
      <c r="E261" s="1026"/>
      <c r="F261" s="1026"/>
      <c r="G261" s="1026"/>
      <c r="H261" s="1026"/>
      <c r="I261" s="1026"/>
      <c r="J261" s="1026"/>
      <c r="K261" s="1026"/>
      <c r="L261" s="1026"/>
      <c r="M261" s="1026"/>
      <c r="N261" s="1026"/>
      <c r="O261" s="1026"/>
      <c r="P261" s="1026"/>
      <c r="Q261" s="1026"/>
      <c r="R261" s="1026"/>
      <c r="S261" s="1026"/>
      <c r="T261" s="1026"/>
      <c r="U261" s="1026"/>
      <c r="V261" s="1026"/>
      <c r="W261" s="1026"/>
      <c r="X261" s="1026"/>
      <c r="Y261" s="1026"/>
      <c r="Z261" s="1026"/>
    </row>
    <row r="262" spans="1:26">
      <c r="A262" s="1026"/>
      <c r="B262" s="1026"/>
      <c r="C262" s="1026"/>
      <c r="D262" s="1026"/>
      <c r="E262" s="1026"/>
      <c r="F262" s="1026"/>
      <c r="G262" s="1026"/>
      <c r="H262" s="1026"/>
      <c r="I262" s="1026"/>
      <c r="J262" s="1026"/>
      <c r="K262" s="1026"/>
      <c r="L262" s="1026"/>
      <c r="M262" s="1026"/>
      <c r="N262" s="1026"/>
      <c r="O262" s="1026"/>
      <c r="P262" s="1026"/>
      <c r="Q262" s="1026"/>
      <c r="R262" s="1026"/>
      <c r="S262" s="1026"/>
      <c r="T262" s="1026"/>
      <c r="U262" s="1026"/>
      <c r="V262" s="1026"/>
      <c r="W262" s="1026"/>
      <c r="X262" s="1026"/>
      <c r="Y262" s="1026"/>
      <c r="Z262" s="1026"/>
    </row>
    <row r="263" spans="1:26">
      <c r="A263" s="1026"/>
      <c r="B263" s="1026"/>
      <c r="C263" s="1026"/>
      <c r="D263" s="1026"/>
      <c r="E263" s="1026"/>
      <c r="F263" s="1026"/>
      <c r="G263" s="1026"/>
      <c r="H263" s="1026"/>
      <c r="I263" s="1026"/>
      <c r="J263" s="1026"/>
      <c r="K263" s="1026"/>
      <c r="L263" s="1026"/>
      <c r="M263" s="1026"/>
      <c r="N263" s="1026"/>
      <c r="O263" s="1026"/>
      <c r="P263" s="1026"/>
      <c r="Q263" s="1026"/>
      <c r="R263" s="1026"/>
      <c r="S263" s="1026"/>
      <c r="T263" s="1026"/>
      <c r="U263" s="1026"/>
      <c r="V263" s="1026"/>
      <c r="W263" s="1026"/>
      <c r="X263" s="1026"/>
      <c r="Y263" s="1026"/>
      <c r="Z263" s="1026"/>
    </row>
    <row r="264" spans="1:26">
      <c r="A264" s="1026"/>
      <c r="B264" s="1026"/>
      <c r="C264" s="1026"/>
      <c r="D264" s="1026"/>
      <c r="E264" s="1026"/>
      <c r="F264" s="1026"/>
      <c r="G264" s="1026"/>
      <c r="H264" s="1026"/>
      <c r="I264" s="1026"/>
      <c r="J264" s="1026"/>
      <c r="K264" s="1026"/>
      <c r="L264" s="1026"/>
      <c r="M264" s="1026"/>
      <c r="N264" s="1026"/>
      <c r="O264" s="1026"/>
      <c r="P264" s="1026"/>
      <c r="Q264" s="1026"/>
      <c r="R264" s="1026"/>
      <c r="S264" s="1026"/>
      <c r="T264" s="1026"/>
      <c r="U264" s="1026"/>
      <c r="V264" s="1026"/>
      <c r="W264" s="1026"/>
      <c r="X264" s="1026"/>
      <c r="Y264" s="1026"/>
      <c r="Z264" s="1026"/>
    </row>
    <row r="265" spans="1:26">
      <c r="A265" s="1026"/>
      <c r="B265" s="1026"/>
      <c r="C265" s="1026"/>
      <c r="D265" s="1026"/>
      <c r="E265" s="1026"/>
      <c r="F265" s="1026"/>
      <c r="G265" s="1026"/>
      <c r="H265" s="1026"/>
      <c r="I265" s="1026"/>
      <c r="J265" s="1026"/>
      <c r="K265" s="1026"/>
      <c r="L265" s="1026"/>
      <c r="M265" s="1026"/>
      <c r="N265" s="1026"/>
      <c r="O265" s="1026"/>
      <c r="P265" s="1026"/>
      <c r="Q265" s="1026"/>
      <c r="R265" s="1026"/>
      <c r="S265" s="1026"/>
      <c r="T265" s="1026"/>
      <c r="U265" s="1026"/>
      <c r="V265" s="1026"/>
      <c r="W265" s="1026"/>
      <c r="X265" s="1026"/>
      <c r="Y265" s="1026"/>
      <c r="Z265" s="1026"/>
    </row>
    <row r="266" spans="1:26">
      <c r="A266" s="1026"/>
      <c r="B266" s="1026"/>
      <c r="C266" s="1026"/>
      <c r="D266" s="1026"/>
      <c r="E266" s="1026"/>
      <c r="F266" s="1026"/>
      <c r="G266" s="1026"/>
      <c r="H266" s="1026"/>
      <c r="I266" s="1026"/>
      <c r="J266" s="1026"/>
      <c r="K266" s="1026"/>
      <c r="L266" s="1026"/>
      <c r="M266" s="1026"/>
      <c r="N266" s="1026"/>
      <c r="O266" s="1026"/>
      <c r="P266" s="1026"/>
      <c r="Q266" s="1026"/>
      <c r="R266" s="1026"/>
      <c r="S266" s="1026"/>
      <c r="T266" s="1026"/>
      <c r="U266" s="1026"/>
      <c r="V266" s="1026"/>
      <c r="W266" s="1026"/>
      <c r="X266" s="1026"/>
      <c r="Y266" s="1026"/>
      <c r="Z266" s="1026"/>
    </row>
    <row r="267" spans="1:26">
      <c r="A267" s="1026"/>
      <c r="B267" s="1026"/>
      <c r="C267" s="1026"/>
      <c r="D267" s="1026"/>
      <c r="E267" s="1026"/>
      <c r="F267" s="1026"/>
      <c r="G267" s="1026"/>
      <c r="H267" s="1026"/>
      <c r="I267" s="1026"/>
      <c r="J267" s="1026"/>
      <c r="K267" s="1026"/>
      <c r="L267" s="1026"/>
      <c r="M267" s="1026"/>
      <c r="N267" s="1026"/>
      <c r="O267" s="1026"/>
      <c r="P267" s="1026"/>
      <c r="Q267" s="1026"/>
      <c r="R267" s="1026"/>
      <c r="S267" s="1026"/>
      <c r="T267" s="1026"/>
      <c r="U267" s="1026"/>
      <c r="V267" s="1026"/>
      <c r="W267" s="1026"/>
      <c r="X267" s="1026"/>
      <c r="Y267" s="1026"/>
      <c r="Z267" s="1026"/>
    </row>
    <row r="268" spans="1:26">
      <c r="A268" s="1026"/>
      <c r="B268" s="1026"/>
      <c r="C268" s="1026"/>
      <c r="D268" s="1026"/>
      <c r="E268" s="1026"/>
      <c r="F268" s="1026"/>
      <c r="G268" s="1026"/>
      <c r="H268" s="1026"/>
      <c r="I268" s="1026"/>
      <c r="J268" s="1026"/>
      <c r="K268" s="1026"/>
      <c r="L268" s="1026"/>
      <c r="M268" s="1026"/>
      <c r="N268" s="1026"/>
      <c r="O268" s="1026"/>
      <c r="P268" s="1026"/>
      <c r="Q268" s="1026"/>
      <c r="R268" s="1026"/>
      <c r="S268" s="1026"/>
      <c r="T268" s="1026"/>
      <c r="U268" s="1026"/>
      <c r="V268" s="1026"/>
      <c r="W268" s="1026"/>
      <c r="X268" s="1026"/>
      <c r="Y268" s="1026"/>
      <c r="Z268" s="1026"/>
    </row>
    <row r="269" spans="1:26">
      <c r="A269" s="1026"/>
      <c r="B269" s="1026"/>
      <c r="C269" s="1026"/>
      <c r="D269" s="1026"/>
      <c r="E269" s="1026"/>
      <c r="F269" s="1026"/>
      <c r="G269" s="1026"/>
      <c r="H269" s="1026"/>
      <c r="I269" s="1026"/>
      <c r="J269" s="1026"/>
      <c r="K269" s="1026"/>
      <c r="L269" s="1026"/>
      <c r="M269" s="1026"/>
      <c r="N269" s="1026"/>
      <c r="O269" s="1026"/>
      <c r="P269" s="1026"/>
      <c r="Q269" s="1026"/>
      <c r="R269" s="1026"/>
      <c r="S269" s="1026"/>
      <c r="T269" s="1026"/>
      <c r="U269" s="1026"/>
      <c r="V269" s="1026"/>
      <c r="W269" s="1026"/>
      <c r="X269" s="1026"/>
      <c r="Y269" s="1026"/>
      <c r="Z269" s="1026"/>
    </row>
    <row r="270" spans="1:26">
      <c r="A270" s="1026"/>
      <c r="B270" s="1026"/>
      <c r="C270" s="1026"/>
      <c r="D270" s="1026"/>
      <c r="E270" s="1026"/>
      <c r="F270" s="1026"/>
      <c r="G270" s="1026"/>
      <c r="H270" s="1026"/>
      <c r="I270" s="1026"/>
      <c r="J270" s="1026"/>
      <c r="K270" s="1026"/>
      <c r="L270" s="1026"/>
      <c r="M270" s="1026"/>
      <c r="N270" s="1026"/>
      <c r="O270" s="1026"/>
      <c r="P270" s="1026"/>
      <c r="Q270" s="1026"/>
      <c r="R270" s="1026"/>
      <c r="S270" s="1026"/>
      <c r="T270" s="1026"/>
      <c r="U270" s="1026"/>
      <c r="V270" s="1026"/>
      <c r="W270" s="1026"/>
      <c r="X270" s="1026"/>
      <c r="Y270" s="1026"/>
      <c r="Z270" s="1026"/>
    </row>
    <row r="271" spans="1:26">
      <c r="A271" s="1026"/>
      <c r="B271" s="1026"/>
      <c r="C271" s="1026"/>
      <c r="D271" s="1026"/>
      <c r="E271" s="1026"/>
      <c r="F271" s="1026"/>
      <c r="G271" s="1026"/>
      <c r="H271" s="1026"/>
      <c r="I271" s="1026"/>
      <c r="J271" s="1026"/>
      <c r="K271" s="1026"/>
      <c r="L271" s="1026"/>
      <c r="M271" s="1026"/>
      <c r="N271" s="1026"/>
      <c r="O271" s="1026"/>
      <c r="P271" s="1026"/>
      <c r="Q271" s="1026"/>
      <c r="R271" s="1026"/>
      <c r="S271" s="1026"/>
      <c r="T271" s="1026"/>
      <c r="U271" s="1026"/>
      <c r="V271" s="1026"/>
      <c r="W271" s="1026"/>
      <c r="X271" s="1026"/>
      <c r="Y271" s="1026"/>
      <c r="Z271" s="1026"/>
    </row>
    <row r="272" spans="1:26">
      <c r="A272" s="1026"/>
      <c r="B272" s="1026"/>
      <c r="C272" s="1026"/>
      <c r="D272" s="1026"/>
      <c r="E272" s="1026"/>
      <c r="F272" s="1026"/>
      <c r="G272" s="1026"/>
      <c r="H272" s="1026"/>
      <c r="I272" s="1026"/>
      <c r="J272" s="1026"/>
      <c r="K272" s="1026"/>
      <c r="L272" s="1026"/>
      <c r="M272" s="1026"/>
      <c r="N272" s="1026"/>
      <c r="O272" s="1026"/>
      <c r="P272" s="1026"/>
      <c r="Q272" s="1026"/>
      <c r="R272" s="1026"/>
      <c r="S272" s="1026"/>
      <c r="T272" s="1026"/>
      <c r="U272" s="1026"/>
      <c r="V272" s="1026"/>
      <c r="W272" s="1026"/>
      <c r="X272" s="1026"/>
      <c r="Y272" s="1026"/>
      <c r="Z272" s="1026"/>
    </row>
    <row r="273" spans="1:26">
      <c r="A273" s="1026"/>
      <c r="B273" s="1026"/>
      <c r="C273" s="1026"/>
      <c r="D273" s="1026"/>
      <c r="E273" s="1026"/>
      <c r="F273" s="1026"/>
      <c r="G273" s="1026"/>
      <c r="H273" s="1026"/>
      <c r="I273" s="1026"/>
      <c r="J273" s="1026"/>
      <c r="K273" s="1026"/>
      <c r="L273" s="1026"/>
      <c r="M273" s="1026"/>
      <c r="N273" s="1026"/>
      <c r="O273" s="1026"/>
      <c r="P273" s="1026"/>
      <c r="Q273" s="1026"/>
      <c r="R273" s="1026"/>
      <c r="S273" s="1026"/>
      <c r="T273" s="1026"/>
      <c r="U273" s="1026"/>
      <c r="V273" s="1026"/>
      <c r="W273" s="1026"/>
      <c r="X273" s="1026"/>
      <c r="Y273" s="1026"/>
      <c r="Z273" s="1026"/>
    </row>
    <row r="274" spans="1:26">
      <c r="A274" s="1026"/>
      <c r="B274" s="1026"/>
      <c r="C274" s="1026"/>
      <c r="D274" s="1026"/>
      <c r="E274" s="1026"/>
      <c r="F274" s="1026"/>
      <c r="G274" s="1026"/>
      <c r="H274" s="1026"/>
      <c r="I274" s="1026"/>
      <c r="J274" s="1026"/>
      <c r="K274" s="1026"/>
      <c r="L274" s="1026"/>
      <c r="M274" s="1026"/>
      <c r="N274" s="1026"/>
      <c r="O274" s="1026"/>
      <c r="P274" s="1026"/>
      <c r="Q274" s="1026"/>
      <c r="R274" s="1026"/>
      <c r="S274" s="1026"/>
      <c r="T274" s="1026"/>
      <c r="U274" s="1026"/>
      <c r="V274" s="1026"/>
      <c r="W274" s="1026"/>
      <c r="X274" s="1026"/>
      <c r="Y274" s="1026"/>
      <c r="Z274" s="1026"/>
    </row>
    <row r="275" spans="1:26">
      <c r="A275" s="1026"/>
      <c r="B275" s="1026"/>
      <c r="C275" s="1026"/>
      <c r="D275" s="1026"/>
      <c r="E275" s="1026"/>
      <c r="F275" s="1026"/>
      <c r="G275" s="1026"/>
      <c r="H275" s="1026"/>
      <c r="I275" s="1026"/>
      <c r="J275" s="1026"/>
      <c r="K275" s="1026"/>
      <c r="L275" s="1026"/>
      <c r="M275" s="1026"/>
      <c r="N275" s="1026"/>
      <c r="O275" s="1026"/>
      <c r="P275" s="1026"/>
      <c r="Q275" s="1026"/>
      <c r="R275" s="1026"/>
      <c r="S275" s="1026"/>
      <c r="T275" s="1026"/>
      <c r="U275" s="1026"/>
      <c r="V275" s="1026"/>
      <c r="W275" s="1026"/>
      <c r="X275" s="1026"/>
      <c r="Y275" s="1026"/>
      <c r="Z275" s="1026"/>
    </row>
    <row r="276" spans="1:26">
      <c r="A276" s="1026"/>
      <c r="B276" s="1026"/>
      <c r="C276" s="1026"/>
      <c r="D276" s="1026"/>
      <c r="E276" s="1026"/>
      <c r="F276" s="1026"/>
      <c r="G276" s="1026"/>
      <c r="H276" s="1026"/>
      <c r="I276" s="1026"/>
      <c r="J276" s="1026"/>
      <c r="K276" s="1026"/>
      <c r="L276" s="1026"/>
      <c r="M276" s="1026"/>
      <c r="N276" s="1026"/>
      <c r="O276" s="1026"/>
      <c r="P276" s="1026"/>
      <c r="Q276" s="1026"/>
      <c r="R276" s="1026"/>
      <c r="S276" s="1026"/>
      <c r="T276" s="1026"/>
      <c r="U276" s="1026"/>
      <c r="V276" s="1026"/>
      <c r="W276" s="1026"/>
      <c r="X276" s="1026"/>
      <c r="Y276" s="1026"/>
      <c r="Z276" s="1026"/>
    </row>
    <row r="277" spans="1:26">
      <c r="A277" s="1026"/>
      <c r="B277" s="1026"/>
      <c r="C277" s="1026"/>
      <c r="D277" s="1026"/>
      <c r="E277" s="1026"/>
      <c r="F277" s="1026"/>
      <c r="G277" s="1026"/>
      <c r="H277" s="1026"/>
      <c r="I277" s="1026"/>
      <c r="J277" s="1026"/>
      <c r="K277" s="1026"/>
      <c r="L277" s="1026"/>
      <c r="M277" s="1026"/>
      <c r="N277" s="1026"/>
      <c r="O277" s="1026"/>
      <c r="P277" s="1026"/>
      <c r="Q277" s="1026"/>
      <c r="R277" s="1026"/>
      <c r="S277" s="1026"/>
      <c r="T277" s="1026"/>
      <c r="U277" s="1026"/>
      <c r="V277" s="1026"/>
      <c r="W277" s="1026"/>
      <c r="X277" s="1026"/>
      <c r="Y277" s="1026"/>
      <c r="Z277" s="1026"/>
    </row>
    <row r="278" spans="1:26">
      <c r="A278" s="1026"/>
      <c r="B278" s="1026"/>
      <c r="C278" s="1026"/>
      <c r="D278" s="1026"/>
      <c r="E278" s="1026"/>
      <c r="F278" s="1026"/>
      <c r="G278" s="1026"/>
      <c r="H278" s="1026"/>
      <c r="I278" s="1026"/>
      <c r="J278" s="1026"/>
      <c r="K278" s="1026"/>
      <c r="L278" s="1026"/>
      <c r="M278" s="1026"/>
      <c r="N278" s="1026"/>
      <c r="O278" s="1026"/>
      <c r="P278" s="1026"/>
      <c r="Q278" s="1026"/>
      <c r="R278" s="1026"/>
      <c r="S278" s="1026"/>
      <c r="T278" s="1026"/>
      <c r="U278" s="1026"/>
      <c r="V278" s="1026"/>
      <c r="W278" s="1026"/>
      <c r="X278" s="1026"/>
      <c r="Y278" s="1026"/>
      <c r="Z278" s="1026"/>
    </row>
    <row r="279" spans="1:26">
      <c r="A279" s="1026"/>
      <c r="B279" s="1026"/>
      <c r="C279" s="1026"/>
      <c r="D279" s="1026"/>
      <c r="E279" s="1026"/>
      <c r="F279" s="1026"/>
      <c r="G279" s="1026"/>
      <c r="H279" s="1026"/>
      <c r="I279" s="1026"/>
      <c r="J279" s="1026"/>
      <c r="K279" s="1026"/>
      <c r="L279" s="1026"/>
      <c r="M279" s="1026"/>
      <c r="N279" s="1026"/>
      <c r="O279" s="1026"/>
      <c r="P279" s="1026"/>
      <c r="Q279" s="1026"/>
      <c r="R279" s="1026"/>
      <c r="S279" s="1026"/>
      <c r="T279" s="1026"/>
      <c r="U279" s="1026"/>
      <c r="V279" s="1026"/>
      <c r="W279" s="1026"/>
      <c r="X279" s="1026"/>
      <c r="Y279" s="1026"/>
      <c r="Z279" s="1026"/>
    </row>
    <row r="280" spans="1:26">
      <c r="A280" s="1026"/>
      <c r="B280" s="1026"/>
      <c r="C280" s="1026"/>
      <c r="D280" s="1026"/>
      <c r="E280" s="1026"/>
      <c r="F280" s="1026"/>
      <c r="G280" s="1026"/>
      <c r="H280" s="1026"/>
      <c r="I280" s="1026"/>
      <c r="J280" s="1026"/>
      <c r="K280" s="1026"/>
      <c r="L280" s="1026"/>
      <c r="M280" s="1026"/>
      <c r="N280" s="1026"/>
      <c r="O280" s="1026"/>
      <c r="P280" s="1026"/>
      <c r="Q280" s="1026"/>
      <c r="R280" s="1026"/>
      <c r="S280" s="1026"/>
      <c r="T280" s="1026"/>
      <c r="U280" s="1026"/>
      <c r="V280" s="1026"/>
      <c r="W280" s="1026"/>
      <c r="X280" s="1026"/>
      <c r="Y280" s="1026"/>
      <c r="Z280" s="1026"/>
    </row>
    <row r="281" spans="1:26">
      <c r="A281" s="1026"/>
      <c r="B281" s="1026"/>
      <c r="C281" s="1026"/>
      <c r="D281" s="1026"/>
      <c r="E281" s="1026"/>
      <c r="F281" s="1026"/>
      <c r="G281" s="1026"/>
      <c r="H281" s="1026"/>
      <c r="I281" s="1026"/>
      <c r="J281" s="1026"/>
      <c r="K281" s="1026"/>
      <c r="L281" s="1026"/>
      <c r="M281" s="1026"/>
      <c r="N281" s="1026"/>
      <c r="O281" s="1026"/>
      <c r="P281" s="1026"/>
      <c r="Q281" s="1026"/>
      <c r="R281" s="1026"/>
      <c r="S281" s="1026"/>
      <c r="T281" s="1026"/>
      <c r="U281" s="1026"/>
      <c r="V281" s="1026"/>
      <c r="W281" s="1026"/>
      <c r="X281" s="1026"/>
      <c r="Y281" s="1026"/>
      <c r="Z281" s="1026"/>
    </row>
    <row r="282" spans="1:26">
      <c r="A282" s="1026"/>
      <c r="B282" s="1026"/>
      <c r="C282" s="1026"/>
      <c r="D282" s="1026"/>
      <c r="E282" s="1026"/>
      <c r="F282" s="1026"/>
      <c r="G282" s="1026"/>
      <c r="H282" s="1026"/>
      <c r="I282" s="1026"/>
      <c r="J282" s="1026"/>
      <c r="K282" s="1026"/>
      <c r="L282" s="1026"/>
      <c r="M282" s="1026"/>
      <c r="N282" s="1026"/>
      <c r="O282" s="1026"/>
      <c r="P282" s="1026"/>
      <c r="Q282" s="1026"/>
      <c r="R282" s="1026"/>
      <c r="S282" s="1026"/>
      <c r="T282" s="1026"/>
      <c r="U282" s="1026"/>
      <c r="V282" s="1026"/>
      <c r="W282" s="1026"/>
      <c r="X282" s="1026"/>
      <c r="Y282" s="1026"/>
      <c r="Z282" s="1026"/>
    </row>
    <row r="283" spans="1:26">
      <c r="A283" s="1026"/>
      <c r="B283" s="1026"/>
      <c r="C283" s="1026"/>
      <c r="D283" s="1026"/>
      <c r="E283" s="1026"/>
      <c r="F283" s="1026"/>
      <c r="G283" s="1026"/>
      <c r="H283" s="1026"/>
      <c r="I283" s="1026"/>
      <c r="J283" s="1026"/>
      <c r="K283" s="1026"/>
      <c r="L283" s="1026"/>
      <c r="M283" s="1026"/>
      <c r="N283" s="1026"/>
      <c r="O283" s="1026"/>
      <c r="P283" s="1026"/>
      <c r="Q283" s="1026"/>
      <c r="R283" s="1026"/>
      <c r="S283" s="1026"/>
      <c r="T283" s="1026"/>
      <c r="U283" s="1026"/>
      <c r="V283" s="1026"/>
      <c r="W283" s="1026"/>
      <c r="X283" s="1026"/>
      <c r="Y283" s="1026"/>
      <c r="Z283" s="1026"/>
    </row>
    <row r="284" spans="1:26">
      <c r="A284" s="1026"/>
      <c r="B284" s="1026"/>
      <c r="C284" s="1026"/>
      <c r="D284" s="1026"/>
      <c r="E284" s="1026"/>
      <c r="F284" s="1026"/>
      <c r="G284" s="1026"/>
      <c r="H284" s="1026"/>
      <c r="I284" s="1026"/>
      <c r="J284" s="1026"/>
      <c r="K284" s="1026"/>
      <c r="L284" s="1026"/>
      <c r="M284" s="1026"/>
      <c r="N284" s="1026"/>
      <c r="O284" s="1026"/>
      <c r="P284" s="1026"/>
      <c r="Q284" s="1026"/>
      <c r="R284" s="1026"/>
      <c r="S284" s="1026"/>
      <c r="T284" s="1026"/>
      <c r="U284" s="1026"/>
      <c r="V284" s="1026"/>
      <c r="W284" s="1026"/>
      <c r="X284" s="1026"/>
      <c r="Y284" s="1026"/>
      <c r="Z284" s="1026"/>
    </row>
    <row r="285" spans="1:26">
      <c r="A285" s="1026"/>
      <c r="B285" s="1026"/>
      <c r="C285" s="1026"/>
      <c r="D285" s="1026"/>
      <c r="E285" s="1026"/>
      <c r="F285" s="1026"/>
      <c r="G285" s="1026"/>
      <c r="H285" s="1026"/>
      <c r="I285" s="1026"/>
      <c r="J285" s="1026"/>
      <c r="K285" s="1026"/>
      <c r="L285" s="1026"/>
      <c r="M285" s="1026"/>
      <c r="N285" s="1026"/>
      <c r="O285" s="1026"/>
      <c r="P285" s="1026"/>
      <c r="Q285" s="1026"/>
      <c r="R285" s="1026"/>
      <c r="S285" s="1026"/>
      <c r="T285" s="1026"/>
      <c r="U285" s="1026"/>
      <c r="V285" s="1026"/>
      <c r="W285" s="1026"/>
      <c r="X285" s="1026"/>
      <c r="Y285" s="1026"/>
      <c r="Z285" s="1026"/>
    </row>
    <row r="286" spans="1:26">
      <c r="A286" s="1026"/>
      <c r="B286" s="1026"/>
      <c r="C286" s="1026"/>
      <c r="D286" s="1026"/>
      <c r="E286" s="1026"/>
      <c r="F286" s="1026"/>
      <c r="G286" s="1026"/>
      <c r="H286" s="1026"/>
      <c r="I286" s="1026"/>
      <c r="J286" s="1026"/>
      <c r="K286" s="1026"/>
      <c r="L286" s="1026"/>
      <c r="M286" s="1026"/>
      <c r="N286" s="1026"/>
      <c r="O286" s="1026"/>
      <c r="P286" s="1026"/>
      <c r="Q286" s="1026"/>
      <c r="R286" s="1026"/>
      <c r="S286" s="1026"/>
      <c r="T286" s="1026"/>
      <c r="U286" s="1026"/>
      <c r="V286" s="1026"/>
      <c r="W286" s="1026"/>
      <c r="X286" s="1026"/>
      <c r="Y286" s="1026"/>
      <c r="Z286" s="1026"/>
    </row>
    <row r="287" spans="1:26">
      <c r="A287" s="1026"/>
      <c r="B287" s="1026"/>
      <c r="C287" s="1026"/>
      <c r="D287" s="1026"/>
      <c r="E287" s="1026"/>
      <c r="F287" s="1026"/>
      <c r="G287" s="1026"/>
      <c r="H287" s="1026"/>
      <c r="I287" s="1026"/>
      <c r="J287" s="1026"/>
      <c r="K287" s="1026"/>
      <c r="L287" s="1026"/>
      <c r="M287" s="1026"/>
      <c r="N287" s="1026"/>
      <c r="O287" s="1026"/>
      <c r="P287" s="1026"/>
      <c r="Q287" s="1026"/>
      <c r="R287" s="1026"/>
      <c r="S287" s="1026"/>
      <c r="T287" s="1026"/>
      <c r="U287" s="1026"/>
      <c r="V287" s="1026"/>
      <c r="W287" s="1026"/>
      <c r="X287" s="1026"/>
      <c r="Y287" s="1026"/>
      <c r="Z287" s="1026"/>
    </row>
    <row r="288" spans="1:26">
      <c r="A288" s="1026"/>
      <c r="B288" s="1026"/>
      <c r="C288" s="1026"/>
      <c r="D288" s="1026"/>
      <c r="E288" s="1026"/>
      <c r="F288" s="1026"/>
      <c r="G288" s="1026"/>
      <c r="H288" s="1026"/>
      <c r="I288" s="1026"/>
      <c r="J288" s="1026"/>
      <c r="K288" s="1026"/>
      <c r="L288" s="1026"/>
      <c r="M288" s="1026"/>
      <c r="N288" s="1026"/>
      <c r="O288" s="1026"/>
      <c r="P288" s="1026"/>
      <c r="Q288" s="1026"/>
      <c r="R288" s="1026"/>
      <c r="S288" s="1026"/>
      <c r="T288" s="1026"/>
      <c r="U288" s="1026"/>
      <c r="V288" s="1026"/>
      <c r="W288" s="1026"/>
      <c r="X288" s="1026"/>
      <c r="Y288" s="1026"/>
      <c r="Z288" s="1026"/>
    </row>
    <row r="289" spans="1:26">
      <c r="A289" s="1026"/>
      <c r="B289" s="1026"/>
      <c r="C289" s="1026"/>
      <c r="D289" s="1026"/>
      <c r="E289" s="1026"/>
      <c r="F289" s="1026"/>
      <c r="G289" s="1026"/>
      <c r="H289" s="1026"/>
      <c r="I289" s="1026"/>
      <c r="J289" s="1026"/>
      <c r="K289" s="1026"/>
      <c r="L289" s="1026"/>
      <c r="M289" s="1026"/>
      <c r="N289" s="1026"/>
      <c r="O289" s="1026"/>
      <c r="P289" s="1026"/>
      <c r="Q289" s="1026"/>
      <c r="R289" s="1026"/>
      <c r="S289" s="1026"/>
      <c r="T289" s="1026"/>
      <c r="U289" s="1026"/>
      <c r="V289" s="1026"/>
      <c r="W289" s="1026"/>
      <c r="X289" s="1026"/>
      <c r="Y289" s="1026"/>
      <c r="Z289" s="1026"/>
    </row>
    <row r="290" spans="1:26">
      <c r="A290" s="1026"/>
      <c r="B290" s="1026"/>
      <c r="C290" s="1026"/>
      <c r="D290" s="1026"/>
      <c r="E290" s="1026"/>
      <c r="F290" s="1026"/>
      <c r="G290" s="1026"/>
      <c r="H290" s="1026"/>
      <c r="I290" s="1026"/>
      <c r="J290" s="1026"/>
      <c r="K290" s="1026"/>
      <c r="L290" s="1026"/>
      <c r="M290" s="1026"/>
      <c r="N290" s="1026"/>
      <c r="O290" s="1026"/>
      <c r="P290" s="1026"/>
      <c r="Q290" s="1026"/>
      <c r="R290" s="1026"/>
      <c r="S290" s="1026"/>
      <c r="T290" s="1026"/>
      <c r="U290" s="1026"/>
      <c r="V290" s="1026"/>
      <c r="W290" s="1026"/>
      <c r="X290" s="1026"/>
      <c r="Y290" s="1026"/>
      <c r="Z290" s="1026"/>
    </row>
    <row r="291" spans="1:26">
      <c r="A291" s="1026"/>
      <c r="B291" s="1026"/>
      <c r="C291" s="1026"/>
      <c r="D291" s="1026"/>
      <c r="E291" s="1026"/>
      <c r="F291" s="1026"/>
      <c r="G291" s="1026"/>
      <c r="H291" s="1026"/>
      <c r="I291" s="1026"/>
      <c r="J291" s="1026"/>
      <c r="K291" s="1026"/>
      <c r="L291" s="1026"/>
      <c r="M291" s="1026"/>
      <c r="N291" s="1026"/>
      <c r="O291" s="1026"/>
      <c r="P291" s="1026"/>
      <c r="Q291" s="1026"/>
      <c r="R291" s="1026"/>
      <c r="S291" s="1026"/>
      <c r="T291" s="1026"/>
      <c r="U291" s="1026"/>
      <c r="V291" s="1026"/>
      <c r="W291" s="1026"/>
      <c r="X291" s="1026"/>
      <c r="Y291" s="1026"/>
      <c r="Z291" s="1026"/>
    </row>
    <row r="292" spans="1:26">
      <c r="A292" s="1026"/>
      <c r="B292" s="1026"/>
      <c r="C292" s="1026"/>
      <c r="D292" s="1026"/>
      <c r="E292" s="1026"/>
      <c r="F292" s="1026"/>
      <c r="G292" s="1026"/>
      <c r="H292" s="1026"/>
      <c r="I292" s="1026"/>
      <c r="J292" s="1026"/>
      <c r="K292" s="1026"/>
      <c r="L292" s="1026"/>
      <c r="M292" s="1026"/>
      <c r="N292" s="1026"/>
      <c r="O292" s="1026"/>
      <c r="P292" s="1026"/>
      <c r="Q292" s="1026"/>
      <c r="R292" s="1026"/>
      <c r="S292" s="1026"/>
      <c r="T292" s="1026"/>
      <c r="U292" s="1026"/>
      <c r="V292" s="1026"/>
      <c r="W292" s="1026"/>
      <c r="X292" s="1026"/>
      <c r="Y292" s="1026"/>
      <c r="Z292" s="1026"/>
    </row>
    <row r="293" spans="1:26">
      <c r="A293" s="1026"/>
      <c r="B293" s="1026"/>
      <c r="C293" s="1026"/>
      <c r="D293" s="1026"/>
      <c r="E293" s="1026"/>
      <c r="F293" s="1026"/>
      <c r="G293" s="1026"/>
      <c r="H293" s="1026"/>
      <c r="I293" s="1026"/>
      <c r="J293" s="1026"/>
      <c r="K293" s="1026"/>
      <c r="L293" s="1026"/>
      <c r="M293" s="1026"/>
      <c r="N293" s="1026"/>
      <c r="O293" s="1026"/>
      <c r="P293" s="1026"/>
      <c r="Q293" s="1026"/>
      <c r="R293" s="1026"/>
      <c r="S293" s="1026"/>
      <c r="T293" s="1026"/>
      <c r="U293" s="1026"/>
      <c r="V293" s="1026"/>
      <c r="W293" s="1026"/>
      <c r="X293" s="1026"/>
      <c r="Y293" s="1026"/>
      <c r="Z293" s="1026"/>
    </row>
    <row r="294" spans="1:26">
      <c r="A294" s="1026"/>
      <c r="B294" s="1026"/>
      <c r="C294" s="1026"/>
      <c r="D294" s="1026"/>
      <c r="E294" s="1026"/>
      <c r="F294" s="1026"/>
      <c r="G294" s="1026"/>
      <c r="H294" s="1026"/>
      <c r="I294" s="1026"/>
      <c r="J294" s="1026"/>
      <c r="K294" s="1026"/>
      <c r="L294" s="1026"/>
      <c r="M294" s="1026"/>
      <c r="N294" s="1026"/>
      <c r="O294" s="1026"/>
      <c r="P294" s="1026"/>
      <c r="Q294" s="1026"/>
      <c r="R294" s="1026"/>
      <c r="S294" s="1026"/>
      <c r="T294" s="1026"/>
      <c r="U294" s="1026"/>
      <c r="V294" s="1026"/>
      <c r="W294" s="1026"/>
      <c r="X294" s="1026"/>
      <c r="Y294" s="1026"/>
      <c r="Z294" s="1026"/>
    </row>
    <row r="295" spans="1:26">
      <c r="A295" s="1026"/>
      <c r="B295" s="1026"/>
      <c r="C295" s="1026"/>
      <c r="D295" s="1026"/>
      <c r="E295" s="1026"/>
      <c r="F295" s="1026"/>
      <c r="G295" s="1026"/>
      <c r="H295" s="1026"/>
      <c r="I295" s="1026"/>
      <c r="J295" s="1026"/>
      <c r="K295" s="1026"/>
      <c r="L295" s="1026"/>
      <c r="M295" s="1026"/>
      <c r="N295" s="1026"/>
      <c r="O295" s="1026"/>
      <c r="P295" s="1026"/>
      <c r="Q295" s="1026"/>
      <c r="R295" s="1026"/>
      <c r="S295" s="1026"/>
      <c r="T295" s="1026"/>
      <c r="U295" s="1026"/>
      <c r="V295" s="1026"/>
      <c r="W295" s="1026"/>
      <c r="X295" s="1026"/>
      <c r="Y295" s="1026"/>
      <c r="Z295" s="1026"/>
    </row>
    <row r="296" spans="1:26">
      <c r="A296" s="1026"/>
      <c r="B296" s="1026"/>
      <c r="C296" s="1026"/>
      <c r="D296" s="1026"/>
      <c r="E296" s="1026"/>
      <c r="F296" s="1026"/>
      <c r="G296" s="1026"/>
      <c r="H296" s="1026"/>
      <c r="I296" s="1026"/>
      <c r="J296" s="1026"/>
      <c r="K296" s="1026"/>
      <c r="L296" s="1026"/>
      <c r="M296" s="1026"/>
      <c r="N296" s="1026"/>
      <c r="O296" s="1026"/>
      <c r="P296" s="1026"/>
      <c r="Q296" s="1026"/>
      <c r="R296" s="1026"/>
      <c r="S296" s="1026"/>
      <c r="T296" s="1026"/>
      <c r="U296" s="1026"/>
      <c r="V296" s="1026"/>
      <c r="W296" s="1026"/>
      <c r="X296" s="1026"/>
      <c r="Y296" s="1026"/>
      <c r="Z296" s="1026"/>
    </row>
    <row r="297" spans="1:26">
      <c r="A297" s="1026"/>
      <c r="B297" s="1026"/>
      <c r="C297" s="1026"/>
      <c r="D297" s="1026"/>
      <c r="E297" s="1026"/>
      <c r="F297" s="1026"/>
      <c r="G297" s="1026"/>
      <c r="H297" s="1026"/>
      <c r="I297" s="1026"/>
      <c r="J297" s="1026"/>
      <c r="K297" s="1026"/>
      <c r="L297" s="1026"/>
      <c r="M297" s="1026"/>
      <c r="N297" s="1026"/>
      <c r="O297" s="1026"/>
      <c r="P297" s="1026"/>
      <c r="Q297" s="1026"/>
      <c r="R297" s="1026"/>
      <c r="S297" s="1026"/>
      <c r="T297" s="1026"/>
      <c r="U297" s="1026"/>
      <c r="V297" s="1026"/>
      <c r="W297" s="1026"/>
      <c r="X297" s="1026"/>
      <c r="Y297" s="1026"/>
      <c r="Z297" s="1026"/>
    </row>
    <row r="298" spans="1:26">
      <c r="A298" s="1026"/>
      <c r="B298" s="1026"/>
      <c r="C298" s="1026"/>
      <c r="D298" s="1026"/>
      <c r="E298" s="1026"/>
      <c r="F298" s="1026"/>
      <c r="G298" s="1026"/>
      <c r="H298" s="1026"/>
      <c r="I298" s="1026"/>
      <c r="J298" s="1026"/>
      <c r="K298" s="1026"/>
      <c r="L298" s="1026"/>
      <c r="M298" s="1026"/>
      <c r="N298" s="1026"/>
      <c r="O298" s="1026"/>
      <c r="P298" s="1026"/>
      <c r="Q298" s="1026"/>
      <c r="R298" s="1026"/>
      <c r="S298" s="1026"/>
      <c r="T298" s="1026"/>
      <c r="U298" s="1026"/>
      <c r="V298" s="1026"/>
      <c r="W298" s="1026"/>
      <c r="X298" s="1026"/>
      <c r="Y298" s="1026"/>
      <c r="Z298" s="1026"/>
    </row>
    <row r="299" spans="1:26">
      <c r="A299" s="1026"/>
      <c r="B299" s="1026"/>
      <c r="C299" s="1026"/>
      <c r="D299" s="1026"/>
      <c r="E299" s="1026"/>
      <c r="F299" s="1026"/>
      <c r="G299" s="1026"/>
      <c r="H299" s="1026"/>
      <c r="I299" s="1026"/>
      <c r="J299" s="1026"/>
      <c r="K299" s="1026"/>
      <c r="L299" s="1026"/>
      <c r="M299" s="1026"/>
      <c r="N299" s="1026"/>
      <c r="O299" s="1026"/>
      <c r="P299" s="1026"/>
      <c r="Q299" s="1026"/>
      <c r="R299" s="1026"/>
      <c r="S299" s="1026"/>
      <c r="T299" s="1026"/>
      <c r="U299" s="1026"/>
      <c r="V299" s="1026"/>
      <c r="W299" s="1026"/>
      <c r="X299" s="1026"/>
      <c r="Y299" s="1026"/>
      <c r="Z299" s="1026"/>
    </row>
    <row r="300" spans="1:26">
      <c r="A300" s="1026"/>
      <c r="B300" s="1026"/>
      <c r="C300" s="1026"/>
      <c r="D300" s="1026"/>
      <c r="E300" s="1026"/>
      <c r="F300" s="1026"/>
      <c r="G300" s="1026"/>
      <c r="H300" s="1026"/>
      <c r="I300" s="1026"/>
      <c r="J300" s="1026"/>
      <c r="K300" s="1026"/>
      <c r="L300" s="1026"/>
      <c r="M300" s="1026"/>
      <c r="N300" s="1026"/>
      <c r="O300" s="1026"/>
      <c r="P300" s="1026"/>
      <c r="Q300" s="1026"/>
      <c r="R300" s="1026"/>
      <c r="S300" s="1026"/>
      <c r="T300" s="1026"/>
      <c r="U300" s="1026"/>
      <c r="V300" s="1026"/>
      <c r="W300" s="1026"/>
      <c r="X300" s="1026"/>
      <c r="Y300" s="1026"/>
      <c r="Z300" s="1026"/>
    </row>
    <row r="301" spans="1:26">
      <c r="A301" s="1026"/>
      <c r="B301" s="1026"/>
      <c r="C301" s="1026"/>
      <c r="D301" s="1026"/>
      <c r="E301" s="1026"/>
      <c r="F301" s="1026"/>
      <c r="G301" s="1026"/>
      <c r="H301" s="1026"/>
      <c r="I301" s="1026"/>
      <c r="J301" s="1026"/>
      <c r="K301" s="1026"/>
      <c r="L301" s="1026"/>
      <c r="M301" s="1026"/>
      <c r="N301" s="1026"/>
      <c r="O301" s="1026"/>
      <c r="P301" s="1026"/>
      <c r="Q301" s="1026"/>
      <c r="R301" s="1026"/>
      <c r="S301" s="1026"/>
      <c r="T301" s="1026"/>
      <c r="U301" s="1026"/>
      <c r="V301" s="1026"/>
      <c r="W301" s="1026"/>
      <c r="X301" s="1026"/>
      <c r="Y301" s="1026"/>
      <c r="Z301" s="1026"/>
    </row>
    <row r="302" spans="1:26">
      <c r="A302" s="1026"/>
      <c r="B302" s="1026"/>
      <c r="C302" s="1026"/>
      <c r="D302" s="1026"/>
      <c r="E302" s="1026"/>
      <c r="F302" s="1026"/>
      <c r="G302" s="1026"/>
      <c r="H302" s="1026"/>
      <c r="I302" s="1026"/>
      <c r="J302" s="1026"/>
      <c r="K302" s="1026"/>
      <c r="L302" s="1026"/>
      <c r="M302" s="1026"/>
      <c r="N302" s="1026"/>
      <c r="O302" s="1026"/>
      <c r="P302" s="1026"/>
      <c r="Q302" s="1026"/>
      <c r="R302" s="1026"/>
      <c r="S302" s="1026"/>
      <c r="T302" s="1026"/>
      <c r="U302" s="1026"/>
      <c r="V302" s="1026"/>
      <c r="W302" s="1026"/>
      <c r="X302" s="1026"/>
      <c r="Y302" s="1026"/>
      <c r="Z302" s="1026"/>
    </row>
    <row r="303" spans="1:26">
      <c r="A303" s="1026"/>
      <c r="B303" s="1026"/>
      <c r="C303" s="1026"/>
      <c r="D303" s="1026"/>
      <c r="E303" s="1026"/>
      <c r="F303" s="1026"/>
      <c r="G303" s="1026"/>
      <c r="H303" s="1026"/>
      <c r="I303" s="1026"/>
      <c r="J303" s="1026"/>
      <c r="K303" s="1026"/>
      <c r="L303" s="1026"/>
      <c r="M303" s="1026"/>
      <c r="N303" s="1026"/>
      <c r="O303" s="1026"/>
      <c r="P303" s="1026"/>
      <c r="Q303" s="1026"/>
      <c r="R303" s="1026"/>
      <c r="S303" s="1026"/>
      <c r="T303" s="1026"/>
      <c r="U303" s="1026"/>
      <c r="V303" s="1026"/>
      <c r="W303" s="1026"/>
      <c r="X303" s="1026"/>
      <c r="Y303" s="1026"/>
      <c r="Z303" s="1026"/>
    </row>
    <row r="304" spans="1:26">
      <c r="A304" s="1026"/>
      <c r="B304" s="1026"/>
      <c r="C304" s="1026"/>
      <c r="D304" s="1026"/>
      <c r="E304" s="1026"/>
      <c r="F304" s="1026"/>
      <c r="G304" s="1026"/>
      <c r="H304" s="1026"/>
      <c r="I304" s="1026"/>
      <c r="J304" s="1026"/>
      <c r="K304" s="1026"/>
      <c r="L304" s="1026"/>
      <c r="M304" s="1026"/>
      <c r="N304" s="1026"/>
      <c r="O304" s="1026"/>
      <c r="P304" s="1026"/>
      <c r="Q304" s="1026"/>
      <c r="R304" s="1026"/>
      <c r="S304" s="1026"/>
      <c r="T304" s="1026"/>
      <c r="U304" s="1026"/>
      <c r="V304" s="1026"/>
      <c r="W304" s="1026"/>
      <c r="X304" s="1026"/>
      <c r="Y304" s="1026"/>
      <c r="Z304" s="1026"/>
    </row>
    <row r="305" spans="1:26">
      <c r="A305" s="1026"/>
      <c r="B305" s="1026"/>
      <c r="C305" s="1026"/>
      <c r="D305" s="1026"/>
      <c r="E305" s="1026"/>
      <c r="F305" s="1026"/>
      <c r="G305" s="1026"/>
      <c r="H305" s="1026"/>
      <c r="I305" s="1026"/>
      <c r="J305" s="1026"/>
      <c r="K305" s="1026"/>
      <c r="L305" s="1026"/>
      <c r="M305" s="1026"/>
      <c r="N305" s="1026"/>
      <c r="O305" s="1026"/>
      <c r="P305" s="1026"/>
      <c r="Q305" s="1026"/>
      <c r="R305" s="1026"/>
      <c r="S305" s="1026"/>
      <c r="T305" s="1026"/>
      <c r="U305" s="1026"/>
      <c r="V305" s="1026"/>
      <c r="W305" s="1026"/>
      <c r="X305" s="1026"/>
      <c r="Y305" s="1026"/>
      <c r="Z305" s="1026"/>
    </row>
    <row r="306" spans="1:26">
      <c r="A306" s="1026"/>
      <c r="B306" s="1026"/>
      <c r="C306" s="1026"/>
      <c r="D306" s="1026"/>
      <c r="E306" s="1026"/>
      <c r="F306" s="1026"/>
      <c r="G306" s="1026"/>
      <c r="H306" s="1026"/>
      <c r="I306" s="1026"/>
      <c r="J306" s="1026"/>
      <c r="K306" s="1026"/>
      <c r="L306" s="1026"/>
      <c r="M306" s="1026"/>
      <c r="N306" s="1026"/>
      <c r="O306" s="1026"/>
      <c r="P306" s="1026"/>
      <c r="Q306" s="1026"/>
      <c r="R306" s="1026"/>
      <c r="S306" s="1026"/>
      <c r="T306" s="1026"/>
      <c r="U306" s="1026"/>
      <c r="V306" s="1026"/>
      <c r="W306" s="1026"/>
      <c r="X306" s="1026"/>
      <c r="Y306" s="1026"/>
      <c r="Z306" s="1026"/>
    </row>
    <row r="307" spans="1:26">
      <c r="A307" s="1026"/>
      <c r="B307" s="1026"/>
      <c r="C307" s="1026"/>
      <c r="D307" s="1026"/>
      <c r="E307" s="1026"/>
      <c r="F307" s="1026"/>
      <c r="G307" s="1026"/>
      <c r="H307" s="1026"/>
      <c r="I307" s="1026"/>
      <c r="J307" s="1026"/>
      <c r="K307" s="1026"/>
      <c r="L307" s="1026"/>
      <c r="M307" s="1026"/>
      <c r="N307" s="1026"/>
      <c r="O307" s="1026"/>
      <c r="P307" s="1026"/>
      <c r="Q307" s="1026"/>
      <c r="R307" s="1026"/>
      <c r="S307" s="1026"/>
      <c r="T307" s="1026"/>
      <c r="U307" s="1026"/>
      <c r="V307" s="1026"/>
      <c r="W307" s="1026"/>
      <c r="X307" s="1026"/>
      <c r="Y307" s="1026"/>
      <c r="Z307" s="1026"/>
    </row>
    <row r="308" spans="1:26">
      <c r="A308" s="1026"/>
      <c r="B308" s="1026"/>
      <c r="C308" s="1026"/>
      <c r="D308" s="1026"/>
      <c r="E308" s="1026"/>
      <c r="F308" s="1026"/>
      <c r="G308" s="1026"/>
      <c r="H308" s="1026"/>
      <c r="I308" s="1026"/>
      <c r="J308" s="1026"/>
      <c r="K308" s="1026"/>
      <c r="L308" s="1026"/>
      <c r="M308" s="1026"/>
      <c r="N308" s="1026"/>
      <c r="O308" s="1026"/>
      <c r="P308" s="1026"/>
      <c r="Q308" s="1026"/>
      <c r="R308" s="1026"/>
      <c r="S308" s="1026"/>
      <c r="T308" s="1026"/>
      <c r="U308" s="1026"/>
      <c r="V308" s="1026"/>
      <c r="W308" s="1026"/>
      <c r="X308" s="1026"/>
      <c r="Y308" s="1026"/>
      <c r="Z308" s="1026"/>
    </row>
    <row r="309" spans="1:26">
      <c r="A309" s="1026"/>
      <c r="B309" s="1026"/>
      <c r="C309" s="1026"/>
      <c r="D309" s="1026"/>
      <c r="E309" s="1026"/>
      <c r="F309" s="1026"/>
      <c r="G309" s="1026"/>
      <c r="H309" s="1026"/>
      <c r="I309" s="1026"/>
      <c r="J309" s="1026"/>
      <c r="K309" s="1026"/>
      <c r="L309" s="1026"/>
      <c r="M309" s="1026"/>
      <c r="N309" s="1026"/>
      <c r="O309" s="1026"/>
      <c r="P309" s="1026"/>
      <c r="Q309" s="1026"/>
      <c r="R309" s="1026"/>
      <c r="S309" s="1026"/>
      <c r="T309" s="1026"/>
      <c r="U309" s="1026"/>
      <c r="V309" s="1026"/>
      <c r="W309" s="1026"/>
      <c r="X309" s="1026"/>
      <c r="Y309" s="1026"/>
      <c r="Z309" s="1026"/>
    </row>
    <row r="310" spans="1:26">
      <c r="A310" s="1026"/>
      <c r="B310" s="1026"/>
      <c r="C310" s="1026"/>
      <c r="D310" s="1026"/>
      <c r="E310" s="1026"/>
      <c r="F310" s="1026"/>
      <c r="G310" s="1026"/>
      <c r="H310" s="1026"/>
      <c r="I310" s="1026"/>
      <c r="J310" s="1026"/>
      <c r="K310" s="1026"/>
      <c r="L310" s="1026"/>
      <c r="M310" s="1026"/>
      <c r="N310" s="1026"/>
      <c r="O310" s="1026"/>
      <c r="P310" s="1026"/>
      <c r="Q310" s="1026"/>
      <c r="R310" s="1026"/>
      <c r="S310" s="1026"/>
      <c r="T310" s="1026"/>
      <c r="U310" s="1026"/>
      <c r="V310" s="1026"/>
      <c r="W310" s="1026"/>
      <c r="X310" s="1026"/>
      <c r="Y310" s="1026"/>
      <c r="Z310" s="1026"/>
    </row>
    <row r="311" spans="1:26">
      <c r="A311" s="1026"/>
      <c r="B311" s="1026"/>
      <c r="C311" s="1026"/>
      <c r="D311" s="1026"/>
      <c r="E311" s="1026"/>
      <c r="F311" s="1026"/>
      <c r="G311" s="1026"/>
      <c r="H311" s="1026"/>
      <c r="I311" s="1026"/>
      <c r="J311" s="1026"/>
      <c r="K311" s="1026"/>
      <c r="L311" s="1026"/>
      <c r="M311" s="1026"/>
      <c r="N311" s="1026"/>
      <c r="O311" s="1026"/>
      <c r="P311" s="1026"/>
      <c r="Q311" s="1026"/>
      <c r="R311" s="1026"/>
      <c r="S311" s="1026"/>
      <c r="T311" s="1026"/>
      <c r="U311" s="1026"/>
      <c r="V311" s="1026"/>
      <c r="W311" s="1026"/>
      <c r="X311" s="1026"/>
      <c r="Y311" s="1026"/>
      <c r="Z311" s="1026"/>
    </row>
    <row r="312" spans="1:26">
      <c r="A312" s="1026"/>
      <c r="B312" s="1026"/>
      <c r="C312" s="1026"/>
      <c r="D312" s="1026"/>
      <c r="E312" s="1026"/>
      <c r="F312" s="1026"/>
      <c r="G312" s="1026"/>
      <c r="H312" s="1026"/>
      <c r="I312" s="1026"/>
      <c r="J312" s="1026"/>
      <c r="K312" s="1026"/>
      <c r="L312" s="1026"/>
      <c r="M312" s="1026"/>
      <c r="N312" s="1026"/>
      <c r="O312" s="1026"/>
      <c r="P312" s="1026"/>
      <c r="Q312" s="1026"/>
      <c r="R312" s="1026"/>
      <c r="S312" s="1026"/>
      <c r="T312" s="1026"/>
      <c r="U312" s="1026"/>
      <c r="V312" s="1026"/>
      <c r="W312" s="1026"/>
      <c r="X312" s="1026"/>
      <c r="Y312" s="1026"/>
      <c r="Z312" s="1026"/>
    </row>
    <row r="313" spans="1:26">
      <c r="A313" s="1026"/>
      <c r="B313" s="1026"/>
      <c r="C313" s="1026"/>
      <c r="D313" s="1026"/>
      <c r="E313" s="1026"/>
      <c r="F313" s="1026"/>
      <c r="G313" s="1026"/>
      <c r="H313" s="1026"/>
      <c r="I313" s="1026"/>
      <c r="J313" s="1026"/>
      <c r="K313" s="1026"/>
      <c r="L313" s="1026"/>
      <c r="M313" s="1026"/>
      <c r="N313" s="1026"/>
      <c r="O313" s="1026"/>
      <c r="P313" s="1026"/>
      <c r="Q313" s="1026"/>
      <c r="R313" s="1026"/>
      <c r="S313" s="1026"/>
      <c r="T313" s="1026"/>
      <c r="U313" s="1026"/>
      <c r="V313" s="1026"/>
      <c r="W313" s="1026"/>
      <c r="X313" s="1026"/>
      <c r="Y313" s="1026"/>
      <c r="Z313" s="1026"/>
    </row>
    <row r="314" spans="1:26">
      <c r="A314" s="1026"/>
      <c r="B314" s="1026"/>
      <c r="C314" s="1026"/>
      <c r="D314" s="1026"/>
      <c r="E314" s="1026"/>
      <c r="F314" s="1026"/>
      <c r="G314" s="1026"/>
      <c r="H314" s="1026"/>
      <c r="I314" s="1026"/>
      <c r="J314" s="1026"/>
      <c r="K314" s="1026"/>
      <c r="L314" s="1026"/>
      <c r="M314" s="1026"/>
      <c r="N314" s="1026"/>
      <c r="O314" s="1026"/>
      <c r="P314" s="1026"/>
      <c r="Q314" s="1026"/>
      <c r="R314" s="1026"/>
      <c r="S314" s="1026"/>
      <c r="T314" s="1026"/>
      <c r="U314" s="1026"/>
      <c r="V314" s="1026"/>
      <c r="W314" s="1026"/>
      <c r="X314" s="1026"/>
      <c r="Y314" s="1026"/>
      <c r="Z314" s="1026"/>
    </row>
    <row r="315" spans="1:26">
      <c r="A315" s="1026"/>
      <c r="B315" s="1026"/>
      <c r="C315" s="1026"/>
      <c r="D315" s="1026"/>
      <c r="E315" s="1026"/>
      <c r="F315" s="1026"/>
      <c r="G315" s="1026"/>
      <c r="H315" s="1026"/>
      <c r="I315" s="1026"/>
      <c r="J315" s="1026"/>
      <c r="K315" s="1026"/>
      <c r="L315" s="1026"/>
      <c r="M315" s="1026"/>
      <c r="N315" s="1026"/>
      <c r="O315" s="1026"/>
      <c r="P315" s="1026"/>
      <c r="Q315" s="1026"/>
      <c r="R315" s="1026"/>
      <c r="S315" s="1026"/>
      <c r="T315" s="1026"/>
      <c r="U315" s="1026"/>
      <c r="V315" s="1026"/>
      <c r="W315" s="1026"/>
      <c r="X315" s="1026"/>
      <c r="Y315" s="1026"/>
      <c r="Z315" s="1026"/>
    </row>
    <row r="316" spans="1:26">
      <c r="A316" s="1026"/>
      <c r="B316" s="1026"/>
      <c r="C316" s="1026"/>
      <c r="D316" s="1026"/>
      <c r="E316" s="1026"/>
      <c r="F316" s="1026"/>
      <c r="G316" s="1026"/>
      <c r="H316" s="1026"/>
      <c r="I316" s="1026"/>
      <c r="J316" s="1026"/>
      <c r="K316" s="1026"/>
      <c r="L316" s="1026"/>
      <c r="M316" s="1026"/>
      <c r="N316" s="1026"/>
      <c r="O316" s="1026"/>
      <c r="P316" s="1026"/>
      <c r="Q316" s="1026"/>
      <c r="R316" s="1026"/>
      <c r="S316" s="1026"/>
      <c r="T316" s="1026"/>
      <c r="U316" s="1026"/>
      <c r="V316" s="1026"/>
      <c r="W316" s="1026"/>
      <c r="X316" s="1026"/>
      <c r="Y316" s="1026"/>
      <c r="Z316" s="1026"/>
    </row>
    <row r="317" spans="1:26">
      <c r="A317" s="1026"/>
      <c r="B317" s="1026"/>
      <c r="C317" s="1026"/>
      <c r="D317" s="1026"/>
      <c r="E317" s="1026"/>
      <c r="F317" s="1026"/>
      <c r="G317" s="1026"/>
      <c r="H317" s="1026"/>
      <c r="I317" s="1026"/>
      <c r="J317" s="1026"/>
      <c r="K317" s="1026"/>
      <c r="L317" s="1026"/>
      <c r="M317" s="1026"/>
      <c r="N317" s="1026"/>
      <c r="O317" s="1026"/>
      <c r="P317" s="1026"/>
      <c r="Q317" s="1026"/>
      <c r="R317" s="1026"/>
      <c r="S317" s="1026"/>
      <c r="T317" s="1026"/>
      <c r="U317" s="1026"/>
      <c r="V317" s="1026"/>
      <c r="W317" s="1026"/>
      <c r="X317" s="1026"/>
      <c r="Y317" s="1026"/>
      <c r="Z317" s="1026"/>
    </row>
    <row r="318" spans="1:26">
      <c r="A318" s="1026"/>
      <c r="B318" s="1026"/>
      <c r="C318" s="1026"/>
      <c r="D318" s="1026"/>
      <c r="E318" s="1026"/>
      <c r="F318" s="1026"/>
      <c r="G318" s="1026"/>
      <c r="H318" s="1026"/>
      <c r="I318" s="1026"/>
      <c r="J318" s="1026"/>
      <c r="K318" s="1026"/>
      <c r="L318" s="1026"/>
      <c r="M318" s="1026"/>
      <c r="N318" s="1026"/>
      <c r="O318" s="1026"/>
      <c r="P318" s="1026"/>
      <c r="Q318" s="1026"/>
      <c r="R318" s="1026"/>
      <c r="S318" s="1026"/>
      <c r="T318" s="1026"/>
      <c r="U318" s="1026"/>
      <c r="V318" s="1026"/>
      <c r="W318" s="1026"/>
      <c r="X318" s="1026"/>
      <c r="Y318" s="1026"/>
      <c r="Z318" s="1026"/>
    </row>
    <row r="319" spans="1:26">
      <c r="A319" s="1026"/>
      <c r="B319" s="1026"/>
      <c r="C319" s="1026"/>
      <c r="D319" s="1026"/>
      <c r="E319" s="1026"/>
      <c r="F319" s="1026"/>
      <c r="G319" s="1026"/>
      <c r="H319" s="1026"/>
      <c r="I319" s="1026"/>
      <c r="J319" s="1026"/>
      <c r="K319" s="1026"/>
      <c r="L319" s="1026"/>
      <c r="M319" s="1026"/>
      <c r="N319" s="1026"/>
      <c r="O319" s="1026"/>
      <c r="P319" s="1026"/>
      <c r="Q319" s="1026"/>
      <c r="R319" s="1026"/>
      <c r="S319" s="1026"/>
      <c r="T319" s="1026"/>
      <c r="U319" s="1026"/>
      <c r="V319" s="1026"/>
      <c r="W319" s="1026"/>
      <c r="X319" s="1026"/>
      <c r="Y319" s="1026"/>
      <c r="Z319" s="1026"/>
    </row>
    <row r="320" spans="1:26">
      <c r="A320" s="1026"/>
      <c r="B320" s="1026"/>
      <c r="C320" s="1026"/>
      <c r="D320" s="1026"/>
      <c r="E320" s="1026"/>
      <c r="F320" s="1026"/>
      <c r="G320" s="1026"/>
      <c r="H320" s="1026"/>
      <c r="I320" s="1026"/>
      <c r="J320" s="1026"/>
      <c r="K320" s="1026"/>
      <c r="L320" s="1026"/>
      <c r="M320" s="1026"/>
      <c r="N320" s="1026"/>
      <c r="O320" s="1026"/>
      <c r="P320" s="1026"/>
      <c r="Q320" s="1026"/>
      <c r="R320" s="1026"/>
      <c r="S320" s="1026"/>
      <c r="T320" s="1026"/>
      <c r="U320" s="1026"/>
      <c r="V320" s="1026"/>
      <c r="W320" s="1026"/>
      <c r="X320" s="1026"/>
      <c r="Y320" s="1026"/>
      <c r="Z320" s="1026"/>
    </row>
    <row r="321" spans="1:26">
      <c r="A321" s="1026"/>
      <c r="B321" s="1026"/>
      <c r="C321" s="1026"/>
      <c r="D321" s="1026"/>
      <c r="E321" s="1026"/>
      <c r="F321" s="1026"/>
      <c r="G321" s="1026"/>
      <c r="H321" s="1026"/>
      <c r="I321" s="1026"/>
      <c r="J321" s="1026"/>
      <c r="K321" s="1026"/>
      <c r="L321" s="1026"/>
      <c r="M321" s="1026"/>
      <c r="N321" s="1026"/>
      <c r="O321" s="1026"/>
      <c r="P321" s="1026"/>
      <c r="Q321" s="1026"/>
      <c r="R321" s="1026"/>
      <c r="S321" s="1026"/>
      <c r="T321" s="1026"/>
      <c r="U321" s="1026"/>
      <c r="V321" s="1026"/>
      <c r="W321" s="1026"/>
      <c r="X321" s="1026"/>
      <c r="Y321" s="1026"/>
      <c r="Z321" s="1026"/>
    </row>
    <row r="322" spans="1:26">
      <c r="A322" s="1026"/>
      <c r="B322" s="1026"/>
      <c r="C322" s="1026"/>
      <c r="D322" s="1026"/>
      <c r="E322" s="1026"/>
      <c r="F322" s="1026"/>
      <c r="G322" s="1026"/>
      <c r="H322" s="1026"/>
      <c r="I322" s="1026"/>
      <c r="J322" s="1026"/>
      <c r="K322" s="1026"/>
      <c r="L322" s="1026"/>
      <c r="M322" s="1026"/>
      <c r="N322" s="1026"/>
      <c r="O322" s="1026"/>
      <c r="P322" s="1026"/>
      <c r="Q322" s="1026"/>
      <c r="R322" s="1026"/>
      <c r="S322" s="1026"/>
      <c r="T322" s="1026"/>
      <c r="U322" s="1026"/>
      <c r="V322" s="1026"/>
      <c r="W322" s="1026"/>
      <c r="X322" s="1026"/>
      <c r="Y322" s="1026"/>
      <c r="Z322" s="1026"/>
    </row>
    <row r="323" spans="1:26">
      <c r="A323" s="1026"/>
      <c r="B323" s="1026"/>
      <c r="C323" s="1026"/>
      <c r="D323" s="1026"/>
      <c r="E323" s="1026"/>
      <c r="F323" s="1026"/>
      <c r="G323" s="1026"/>
      <c r="H323" s="1026"/>
      <c r="I323" s="1026"/>
      <c r="J323" s="1026"/>
      <c r="K323" s="1026"/>
      <c r="L323" s="1026"/>
      <c r="M323" s="1026"/>
      <c r="N323" s="1026"/>
      <c r="O323" s="1026"/>
      <c r="P323" s="1026"/>
      <c r="Q323" s="1026"/>
      <c r="R323" s="1026"/>
      <c r="S323" s="1026"/>
      <c r="T323" s="1026"/>
      <c r="U323" s="1026"/>
      <c r="V323" s="1026"/>
      <c r="W323" s="1026"/>
      <c r="X323" s="1026"/>
      <c r="Y323" s="1026"/>
      <c r="Z323" s="1026"/>
    </row>
    <row r="324" spans="1:26">
      <c r="A324" s="1026"/>
      <c r="B324" s="1026"/>
      <c r="C324" s="1026"/>
      <c r="D324" s="1026"/>
      <c r="E324" s="1026"/>
      <c r="F324" s="1026"/>
      <c r="G324" s="1026"/>
      <c r="H324" s="1026"/>
      <c r="I324" s="1026"/>
      <c r="J324" s="1026"/>
      <c r="K324" s="1026"/>
      <c r="L324" s="1026"/>
      <c r="M324" s="1026"/>
      <c r="N324" s="1026"/>
      <c r="O324" s="1026"/>
      <c r="P324" s="1026"/>
      <c r="Q324" s="1026"/>
      <c r="R324" s="1026"/>
      <c r="S324" s="1026"/>
      <c r="T324" s="1026"/>
      <c r="U324" s="1026"/>
      <c r="V324" s="1026"/>
      <c r="W324" s="1026"/>
      <c r="X324" s="1026"/>
      <c r="Y324" s="1026"/>
      <c r="Z324" s="1026"/>
    </row>
    <row r="325" spans="1:26">
      <c r="A325" s="1026"/>
      <c r="B325" s="1026"/>
      <c r="C325" s="1026"/>
      <c r="D325" s="1026"/>
      <c r="E325" s="1026"/>
      <c r="F325" s="1026"/>
      <c r="G325" s="1026"/>
      <c r="H325" s="1026"/>
      <c r="I325" s="1026"/>
      <c r="J325" s="1026"/>
      <c r="K325" s="1026"/>
      <c r="L325" s="1026"/>
      <c r="M325" s="1026"/>
      <c r="N325" s="1026"/>
      <c r="O325" s="1026"/>
      <c r="P325" s="1026"/>
      <c r="Q325" s="1026"/>
      <c r="R325" s="1026"/>
      <c r="S325" s="1026"/>
      <c r="T325" s="1026"/>
      <c r="U325" s="1026"/>
      <c r="V325" s="1026"/>
      <c r="W325" s="1026"/>
      <c r="X325" s="1026"/>
      <c r="Y325" s="1026"/>
      <c r="Z325" s="1026"/>
    </row>
    <row r="326" spans="1:26">
      <c r="A326" s="1026"/>
      <c r="B326" s="1026"/>
      <c r="C326" s="1026"/>
      <c r="D326" s="1026"/>
      <c r="E326" s="1026"/>
      <c r="F326" s="1026"/>
      <c r="G326" s="1026"/>
      <c r="H326" s="1026"/>
      <c r="I326" s="1026"/>
      <c r="J326" s="1026"/>
      <c r="K326" s="1026"/>
      <c r="L326" s="1026"/>
      <c r="M326" s="1026"/>
      <c r="N326" s="1026"/>
      <c r="O326" s="1026"/>
      <c r="P326" s="1026"/>
      <c r="Q326" s="1026"/>
      <c r="R326" s="1026"/>
      <c r="S326" s="1026"/>
      <c r="T326" s="1026"/>
      <c r="U326" s="1026"/>
      <c r="V326" s="1026"/>
      <c r="W326" s="1026"/>
      <c r="X326" s="1026"/>
      <c r="Y326" s="1026"/>
      <c r="Z326" s="1026"/>
    </row>
    <row r="327" spans="1:26">
      <c r="A327" s="1026"/>
      <c r="B327" s="1026"/>
      <c r="C327" s="1026"/>
      <c r="D327" s="1026"/>
      <c r="E327" s="1026"/>
      <c r="F327" s="1026"/>
      <c r="G327" s="1026"/>
      <c r="H327" s="1026"/>
      <c r="I327" s="1026"/>
      <c r="J327" s="1026"/>
      <c r="K327" s="1026"/>
      <c r="L327" s="1026"/>
      <c r="M327" s="1026"/>
      <c r="N327" s="1026"/>
      <c r="O327" s="1026"/>
      <c r="P327" s="1026"/>
      <c r="Q327" s="1026"/>
      <c r="R327" s="1026"/>
      <c r="S327" s="1026"/>
      <c r="T327" s="1026"/>
      <c r="U327" s="1026"/>
      <c r="V327" s="1026"/>
      <c r="W327" s="1026"/>
      <c r="X327" s="1026"/>
      <c r="Y327" s="1026"/>
      <c r="Z327" s="1026"/>
    </row>
    <row r="328" spans="1:26">
      <c r="A328" s="1026"/>
      <c r="B328" s="1026"/>
      <c r="C328" s="1026"/>
      <c r="D328" s="1026"/>
      <c r="E328" s="1026"/>
      <c r="F328" s="1026"/>
      <c r="G328" s="1026"/>
      <c r="H328" s="1026"/>
      <c r="I328" s="1026"/>
      <c r="J328" s="1026"/>
      <c r="K328" s="1026"/>
      <c r="L328" s="1026"/>
      <c r="M328" s="1026"/>
      <c r="N328" s="1026"/>
      <c r="O328" s="1026"/>
      <c r="P328" s="1026"/>
      <c r="Q328" s="1026"/>
      <c r="R328" s="1026"/>
      <c r="S328" s="1026"/>
      <c r="T328" s="1026"/>
      <c r="U328" s="1026"/>
      <c r="V328" s="1026"/>
      <c r="W328" s="1026"/>
      <c r="X328" s="1026"/>
      <c r="Y328" s="1026"/>
      <c r="Z328" s="1026"/>
    </row>
    <row r="329" spans="1:26">
      <c r="A329" s="1026"/>
      <c r="B329" s="1026"/>
      <c r="C329" s="1026"/>
      <c r="D329" s="1026"/>
      <c r="E329" s="1026"/>
      <c r="F329" s="1026"/>
      <c r="G329" s="1026"/>
      <c r="H329" s="1026"/>
      <c r="I329" s="1026"/>
      <c r="J329" s="1026"/>
      <c r="K329" s="1026"/>
      <c r="L329" s="1026"/>
      <c r="M329" s="1026"/>
      <c r="N329" s="1026"/>
      <c r="O329" s="1026"/>
      <c r="P329" s="1026"/>
      <c r="Q329" s="1026"/>
      <c r="R329" s="1026"/>
      <c r="S329" s="1026"/>
      <c r="T329" s="1026"/>
      <c r="U329" s="1026"/>
      <c r="V329" s="1026"/>
      <c r="W329" s="1026"/>
      <c r="X329" s="1026"/>
      <c r="Y329" s="1026"/>
      <c r="Z329" s="1026"/>
    </row>
    <row r="330" spans="1:26">
      <c r="A330" s="1026"/>
      <c r="B330" s="1026"/>
      <c r="C330" s="1026"/>
      <c r="D330" s="1026"/>
      <c r="E330" s="1026"/>
      <c r="F330" s="1026"/>
      <c r="G330" s="1026"/>
      <c r="H330" s="1026"/>
      <c r="I330" s="1026"/>
      <c r="J330" s="1026"/>
      <c r="K330" s="1026"/>
      <c r="L330" s="1026"/>
      <c r="M330" s="1026"/>
      <c r="N330" s="1026"/>
      <c r="O330" s="1026"/>
      <c r="P330" s="1026"/>
      <c r="Q330" s="1026"/>
      <c r="R330" s="1026"/>
      <c r="S330" s="1026"/>
      <c r="T330" s="1026"/>
      <c r="U330" s="1026"/>
      <c r="V330" s="1026"/>
      <c r="W330" s="1026"/>
      <c r="X330" s="1026"/>
      <c r="Y330" s="1026"/>
      <c r="Z330" s="1026"/>
    </row>
    <row r="331" spans="1:26">
      <c r="A331" s="1026"/>
      <c r="B331" s="1026"/>
      <c r="C331" s="1026"/>
      <c r="D331" s="1026"/>
      <c r="E331" s="1026"/>
      <c r="F331" s="1026"/>
      <c r="G331" s="1026"/>
      <c r="H331" s="1026"/>
      <c r="I331" s="1026"/>
      <c r="J331" s="1026"/>
      <c r="K331" s="1026"/>
      <c r="L331" s="1026"/>
      <c r="M331" s="1026"/>
      <c r="N331" s="1026"/>
      <c r="O331" s="1026"/>
      <c r="P331" s="1026"/>
      <c r="Q331" s="1026"/>
      <c r="R331" s="1026"/>
      <c r="S331" s="1026"/>
      <c r="T331" s="1026"/>
      <c r="U331" s="1026"/>
      <c r="V331" s="1026"/>
      <c r="W331" s="1026"/>
      <c r="X331" s="1026"/>
      <c r="Y331" s="1026"/>
      <c r="Z331" s="1026"/>
    </row>
    <row r="332" spans="1:26">
      <c r="A332" s="1026"/>
      <c r="B332" s="1026"/>
      <c r="C332" s="1026"/>
      <c r="D332" s="1026"/>
      <c r="E332" s="1026"/>
      <c r="F332" s="1026"/>
      <c r="G332" s="1026"/>
      <c r="H332" s="1026"/>
      <c r="I332" s="1026"/>
      <c r="J332" s="1026"/>
      <c r="K332" s="1026"/>
      <c r="L332" s="1026"/>
      <c r="M332" s="1026"/>
      <c r="N332" s="1026"/>
      <c r="O332" s="1026"/>
      <c r="P332" s="1026"/>
      <c r="Q332" s="1026"/>
      <c r="R332" s="1026"/>
      <c r="S332" s="1026"/>
      <c r="T332" s="1026"/>
      <c r="U332" s="1026"/>
      <c r="V332" s="1026"/>
      <c r="W332" s="1026"/>
      <c r="X332" s="1026"/>
      <c r="Y332" s="1026"/>
      <c r="Z332" s="1026"/>
    </row>
    <row r="333" spans="1:26">
      <c r="A333" s="1026"/>
      <c r="B333" s="1026"/>
      <c r="C333" s="1026"/>
      <c r="D333" s="1026"/>
      <c r="E333" s="1026"/>
      <c r="F333" s="1026"/>
      <c r="G333" s="1026"/>
      <c r="H333" s="1026"/>
      <c r="I333" s="1026"/>
      <c r="J333" s="1026"/>
      <c r="K333" s="1026"/>
      <c r="L333" s="1026"/>
      <c r="M333" s="1026"/>
      <c r="N333" s="1026"/>
      <c r="O333" s="1026"/>
      <c r="P333" s="1026"/>
      <c r="Q333" s="1026"/>
      <c r="R333" s="1026"/>
      <c r="S333" s="1026"/>
      <c r="T333" s="1026"/>
      <c r="U333" s="1026"/>
      <c r="V333" s="1026"/>
      <c r="W333" s="1026"/>
      <c r="X333" s="1026"/>
      <c r="Y333" s="1026"/>
      <c r="Z333" s="1026"/>
    </row>
    <row r="334" spans="1:26">
      <c r="A334" s="1026"/>
      <c r="B334" s="1026"/>
      <c r="C334" s="1026"/>
      <c r="D334" s="1026"/>
      <c r="E334" s="1026"/>
      <c r="F334" s="1026"/>
      <c r="G334" s="1026"/>
      <c r="H334" s="1026"/>
      <c r="I334" s="1026"/>
      <c r="J334" s="1026"/>
      <c r="K334" s="1026"/>
      <c r="L334" s="1026"/>
      <c r="M334" s="1026"/>
      <c r="N334" s="1026"/>
      <c r="O334" s="1026"/>
      <c r="P334" s="1026"/>
      <c r="Q334" s="1026"/>
      <c r="R334" s="1026"/>
      <c r="S334" s="1026"/>
      <c r="T334" s="1026"/>
      <c r="U334" s="1026"/>
      <c r="V334" s="1026"/>
      <c r="W334" s="1026"/>
      <c r="X334" s="1026"/>
      <c r="Y334" s="1026"/>
      <c r="Z334" s="1026"/>
    </row>
    <row r="335" spans="1:26">
      <c r="A335" s="1026"/>
      <c r="B335" s="1026"/>
      <c r="C335" s="1026"/>
      <c r="D335" s="1026"/>
      <c r="E335" s="1026"/>
      <c r="F335" s="1026"/>
      <c r="G335" s="1026"/>
      <c r="H335" s="1026"/>
      <c r="I335" s="1026"/>
      <c r="J335" s="1026"/>
      <c r="K335" s="1026"/>
      <c r="L335" s="1026"/>
      <c r="M335" s="1026"/>
      <c r="N335" s="1026"/>
      <c r="O335" s="1026"/>
      <c r="P335" s="1026"/>
      <c r="Q335" s="1026"/>
      <c r="R335" s="1026"/>
      <c r="S335" s="1026"/>
      <c r="T335" s="1026"/>
      <c r="U335" s="1026"/>
      <c r="V335" s="1026"/>
      <c r="W335" s="1026"/>
      <c r="X335" s="1026"/>
      <c r="Y335" s="1026"/>
      <c r="Z335" s="1026"/>
    </row>
    <row r="336" spans="1:26">
      <c r="A336" s="1026"/>
      <c r="B336" s="1026"/>
      <c r="C336" s="1026"/>
      <c r="D336" s="1026"/>
      <c r="E336" s="1026"/>
      <c r="F336" s="1026"/>
      <c r="G336" s="1026"/>
      <c r="H336" s="1026"/>
      <c r="I336" s="1026"/>
      <c r="J336" s="1026"/>
      <c r="K336" s="1026"/>
      <c r="L336" s="1026"/>
      <c r="M336" s="1026"/>
      <c r="N336" s="1026"/>
      <c r="O336" s="1026"/>
      <c r="P336" s="1026"/>
      <c r="Q336" s="1026"/>
      <c r="R336" s="1026"/>
      <c r="S336" s="1026"/>
      <c r="T336" s="1026"/>
      <c r="U336" s="1026"/>
      <c r="V336" s="1026"/>
      <c r="W336" s="1026"/>
      <c r="X336" s="1026"/>
      <c r="Y336" s="1026"/>
      <c r="Z336" s="1026"/>
    </row>
    <row r="337" spans="1:26">
      <c r="A337" s="1026"/>
      <c r="B337" s="1026"/>
      <c r="C337" s="1026"/>
      <c r="D337" s="1026"/>
      <c r="E337" s="1026"/>
      <c r="F337" s="1026"/>
      <c r="G337" s="1026"/>
      <c r="H337" s="1026"/>
      <c r="I337" s="1026"/>
      <c r="J337" s="1026"/>
      <c r="K337" s="1026"/>
      <c r="L337" s="1026"/>
      <c r="M337" s="1026"/>
      <c r="N337" s="1026"/>
      <c r="O337" s="1026"/>
      <c r="P337" s="1026"/>
      <c r="Q337" s="1026"/>
      <c r="R337" s="1026"/>
      <c r="S337" s="1026"/>
      <c r="T337" s="1026"/>
      <c r="U337" s="1026"/>
      <c r="V337" s="1026"/>
      <c r="W337" s="1026"/>
      <c r="X337" s="1026"/>
      <c r="Y337" s="1026"/>
      <c r="Z337" s="1026"/>
    </row>
    <row r="338" spans="1:26">
      <c r="A338" s="1026"/>
      <c r="B338" s="1026"/>
      <c r="C338" s="1026"/>
      <c r="D338" s="1026"/>
      <c r="E338" s="1026"/>
      <c r="F338" s="1026"/>
      <c r="G338" s="1026"/>
      <c r="H338" s="1026"/>
      <c r="I338" s="1026"/>
      <c r="J338" s="1026"/>
      <c r="K338" s="1026"/>
      <c r="L338" s="1026"/>
      <c r="M338" s="1026"/>
      <c r="N338" s="1026"/>
      <c r="O338" s="1026"/>
      <c r="P338" s="1026"/>
      <c r="Q338" s="1026"/>
      <c r="R338" s="1026"/>
      <c r="S338" s="1026"/>
      <c r="T338" s="1026"/>
      <c r="U338" s="1026"/>
      <c r="V338" s="1026"/>
      <c r="W338" s="1026"/>
      <c r="X338" s="1026"/>
      <c r="Y338" s="1026"/>
      <c r="Z338" s="1026"/>
    </row>
    <row r="339" spans="1:26">
      <c r="A339" s="1026"/>
      <c r="B339" s="1026"/>
      <c r="C339" s="1026"/>
      <c r="D339" s="1026"/>
      <c r="E339" s="1026"/>
      <c r="F339" s="1026"/>
      <c r="G339" s="1026"/>
      <c r="H339" s="1026"/>
      <c r="I339" s="1026"/>
      <c r="J339" s="1026"/>
      <c r="K339" s="1026"/>
      <c r="L339" s="1026"/>
      <c r="M339" s="1026"/>
      <c r="N339" s="1026"/>
      <c r="O339" s="1026"/>
      <c r="P339" s="1026"/>
      <c r="Q339" s="1026"/>
      <c r="R339" s="1026"/>
      <c r="S339" s="1026"/>
      <c r="T339" s="1026"/>
      <c r="U339" s="1026"/>
      <c r="V339" s="1026"/>
      <c r="W339" s="1026"/>
      <c r="X339" s="1026"/>
      <c r="Y339" s="1026"/>
      <c r="Z339" s="1026"/>
    </row>
    <row r="340" spans="1:26">
      <c r="A340" s="1026"/>
      <c r="B340" s="1026"/>
      <c r="C340" s="1026"/>
      <c r="D340" s="1026"/>
      <c r="E340" s="1026"/>
      <c r="F340" s="1026"/>
      <c r="G340" s="1026"/>
      <c r="H340" s="1026"/>
      <c r="I340" s="1026"/>
      <c r="J340" s="1026"/>
      <c r="K340" s="1026"/>
      <c r="L340" s="1026"/>
      <c r="M340" s="1026"/>
      <c r="N340" s="1026"/>
      <c r="O340" s="1026"/>
      <c r="P340" s="1026"/>
      <c r="Q340" s="1026"/>
      <c r="R340" s="1026"/>
      <c r="S340" s="1026"/>
      <c r="T340" s="1026"/>
      <c r="U340" s="1026"/>
      <c r="V340" s="1026"/>
      <c r="W340" s="1026"/>
      <c r="X340" s="1026"/>
      <c r="Y340" s="1026"/>
      <c r="Z340" s="1026"/>
    </row>
    <row r="341" spans="1:26">
      <c r="A341" s="1026"/>
      <c r="B341" s="1026"/>
      <c r="C341" s="1026"/>
      <c r="D341" s="1026"/>
      <c r="E341" s="1026"/>
      <c r="F341" s="1026"/>
      <c r="G341" s="1026"/>
      <c r="H341" s="1026"/>
      <c r="I341" s="1026"/>
      <c r="J341" s="1026"/>
      <c r="K341" s="1026"/>
      <c r="L341" s="1026"/>
      <c r="M341" s="1026"/>
      <c r="N341" s="1026"/>
      <c r="O341" s="1026"/>
      <c r="P341" s="1026"/>
      <c r="Q341" s="1026"/>
      <c r="R341" s="1026"/>
      <c r="S341" s="1026"/>
      <c r="T341" s="1026"/>
      <c r="U341" s="1026"/>
      <c r="V341" s="1026"/>
      <c r="W341" s="1026"/>
      <c r="X341" s="1026"/>
      <c r="Y341" s="1026"/>
      <c r="Z341" s="1026"/>
    </row>
    <row r="342" spans="1:26">
      <c r="A342" s="1026"/>
      <c r="B342" s="1026"/>
      <c r="C342" s="1026"/>
      <c r="D342" s="1026"/>
      <c r="E342" s="1026"/>
      <c r="F342" s="1026"/>
      <c r="G342" s="1026"/>
      <c r="H342" s="1026"/>
      <c r="I342" s="1026"/>
      <c r="J342" s="1026"/>
      <c r="K342" s="1026"/>
      <c r="L342" s="1026"/>
      <c r="M342" s="1026"/>
      <c r="N342" s="1026"/>
      <c r="O342" s="1026"/>
      <c r="P342" s="1026"/>
      <c r="Q342" s="1026"/>
      <c r="R342" s="1026"/>
      <c r="S342" s="1026"/>
      <c r="T342" s="1026"/>
      <c r="U342" s="1026"/>
      <c r="V342" s="1026"/>
      <c r="W342" s="1026"/>
      <c r="X342" s="1026"/>
      <c r="Y342" s="1026"/>
      <c r="Z342" s="1026"/>
    </row>
    <row r="343" spans="1:26">
      <c r="A343" s="1026"/>
      <c r="B343" s="1026"/>
      <c r="C343" s="1026"/>
      <c r="D343" s="1026"/>
      <c r="E343" s="1026"/>
      <c r="F343" s="1026"/>
      <c r="G343" s="1026"/>
      <c r="H343" s="1026"/>
      <c r="I343" s="1026"/>
      <c r="J343" s="1026"/>
      <c r="K343" s="1026"/>
      <c r="L343" s="1026"/>
      <c r="M343" s="1026"/>
      <c r="N343" s="1026"/>
      <c r="O343" s="1026"/>
      <c r="P343" s="1026"/>
      <c r="Q343" s="1026"/>
      <c r="R343" s="1026"/>
      <c r="S343" s="1026"/>
      <c r="T343" s="1026"/>
      <c r="U343" s="1026"/>
      <c r="V343" s="1026"/>
      <c r="W343" s="1026"/>
      <c r="X343" s="1026"/>
      <c r="Y343" s="1026"/>
      <c r="Z343" s="1026"/>
    </row>
    <row r="344" spans="1:26">
      <c r="A344" s="1026"/>
      <c r="B344" s="1026"/>
      <c r="C344" s="1026"/>
      <c r="D344" s="1026"/>
      <c r="E344" s="1026"/>
      <c r="F344" s="1026"/>
      <c r="G344" s="1026"/>
      <c r="H344" s="1026"/>
      <c r="I344" s="1026"/>
      <c r="J344" s="1026"/>
      <c r="K344" s="1026"/>
      <c r="L344" s="1026"/>
      <c r="M344" s="1026"/>
      <c r="N344" s="1026"/>
      <c r="O344" s="1026"/>
      <c r="P344" s="1026"/>
      <c r="Q344" s="1026"/>
      <c r="R344" s="1026"/>
      <c r="S344" s="1026"/>
      <c r="T344" s="1026"/>
      <c r="U344" s="1026"/>
      <c r="V344" s="1026"/>
      <c r="W344" s="1026"/>
      <c r="X344" s="1026"/>
      <c r="Y344" s="1026"/>
      <c r="Z344" s="1026"/>
    </row>
    <row r="345" spans="1:26">
      <c r="A345" s="1026"/>
      <c r="B345" s="1026"/>
      <c r="C345" s="1026"/>
      <c r="D345" s="1026"/>
      <c r="E345" s="1026"/>
      <c r="F345" s="1026"/>
      <c r="G345" s="1026"/>
      <c r="H345" s="1026"/>
      <c r="I345" s="1026"/>
      <c r="J345" s="1026"/>
      <c r="K345" s="1026"/>
      <c r="L345" s="1026"/>
      <c r="M345" s="1026"/>
      <c r="N345" s="1026"/>
      <c r="O345" s="1026"/>
      <c r="P345" s="1026"/>
      <c r="Q345" s="1026"/>
      <c r="R345" s="1026"/>
      <c r="S345" s="1026"/>
      <c r="T345" s="1026"/>
      <c r="U345" s="1026"/>
      <c r="V345" s="1026"/>
      <c r="W345" s="1026"/>
      <c r="X345" s="1026"/>
      <c r="Y345" s="1026"/>
      <c r="Z345" s="1026"/>
    </row>
    <row r="346" spans="1:26">
      <c r="A346" s="1026"/>
      <c r="B346" s="1026"/>
      <c r="C346" s="1026"/>
      <c r="D346" s="1026"/>
      <c r="E346" s="1026"/>
      <c r="F346" s="1026"/>
      <c r="G346" s="1026"/>
      <c r="H346" s="1026"/>
      <c r="I346" s="1026"/>
      <c r="J346" s="1026"/>
      <c r="K346" s="1026"/>
      <c r="L346" s="1026"/>
      <c r="M346" s="1026"/>
      <c r="N346" s="1026"/>
      <c r="O346" s="1026"/>
      <c r="P346" s="1026"/>
      <c r="Q346" s="1026"/>
      <c r="R346" s="1026"/>
      <c r="S346" s="1026"/>
      <c r="T346" s="1026"/>
      <c r="U346" s="1026"/>
      <c r="V346" s="1026"/>
      <c r="W346" s="1026"/>
      <c r="X346" s="1026"/>
      <c r="Y346" s="1026"/>
      <c r="Z346" s="1026"/>
    </row>
    <row r="347" spans="1:26">
      <c r="A347" s="1026"/>
      <c r="B347" s="1026"/>
      <c r="C347" s="1026"/>
      <c r="D347" s="1026"/>
      <c r="E347" s="1026"/>
      <c r="F347" s="1026"/>
      <c r="G347" s="1026"/>
      <c r="H347" s="1026"/>
      <c r="I347" s="1026"/>
      <c r="J347" s="1026"/>
      <c r="K347" s="1026"/>
      <c r="L347" s="1026"/>
      <c r="M347" s="1026"/>
      <c r="N347" s="1026"/>
      <c r="O347" s="1026"/>
      <c r="P347" s="1026"/>
      <c r="Q347" s="1026"/>
      <c r="R347" s="1026"/>
      <c r="S347" s="1026"/>
      <c r="T347" s="1026"/>
      <c r="U347" s="1026"/>
      <c r="V347" s="1026"/>
      <c r="W347" s="1026"/>
      <c r="X347" s="1026"/>
      <c r="Y347" s="1026"/>
      <c r="Z347" s="1026"/>
    </row>
    <row r="348" spans="1:26">
      <c r="A348" s="1026"/>
      <c r="B348" s="1026"/>
      <c r="C348" s="1026"/>
      <c r="D348" s="1026"/>
      <c r="E348" s="1026"/>
      <c r="F348" s="1026"/>
      <c r="G348" s="1026"/>
      <c r="H348" s="1026"/>
      <c r="I348" s="1026"/>
      <c r="J348" s="1026"/>
      <c r="K348" s="1026"/>
      <c r="L348" s="1026"/>
      <c r="M348" s="1026"/>
      <c r="N348" s="1026"/>
      <c r="O348" s="1026"/>
      <c r="P348" s="1026"/>
      <c r="Q348" s="1026"/>
      <c r="R348" s="1026"/>
      <c r="S348" s="1026"/>
      <c r="T348" s="1026"/>
      <c r="U348" s="1026"/>
      <c r="V348" s="1026"/>
      <c r="W348" s="1026"/>
      <c r="X348" s="1026"/>
      <c r="Y348" s="1026"/>
      <c r="Z348" s="1026"/>
    </row>
    <row r="349" spans="1:26">
      <c r="A349" s="1026"/>
      <c r="B349" s="1026"/>
      <c r="C349" s="1026"/>
      <c r="D349" s="1026"/>
      <c r="E349" s="1026"/>
      <c r="F349" s="1026"/>
      <c r="G349" s="1026"/>
      <c r="H349" s="1026"/>
      <c r="I349" s="1026"/>
      <c r="J349" s="1026"/>
      <c r="K349" s="1026"/>
      <c r="L349" s="1026"/>
      <c r="M349" s="1026"/>
      <c r="N349" s="1026"/>
      <c r="O349" s="1026"/>
      <c r="P349" s="1026"/>
      <c r="Q349" s="1026"/>
      <c r="R349" s="1026"/>
      <c r="S349" s="1026"/>
      <c r="T349" s="1026"/>
      <c r="U349" s="1026"/>
      <c r="V349" s="1026"/>
      <c r="W349" s="1026"/>
      <c r="X349" s="1026"/>
      <c r="Y349" s="1026"/>
      <c r="Z349" s="1026"/>
    </row>
    <row r="350" spans="1:26">
      <c r="A350" s="1026"/>
      <c r="B350" s="1026"/>
      <c r="C350" s="1026"/>
      <c r="D350" s="1026"/>
      <c r="E350" s="1026"/>
      <c r="F350" s="1026"/>
      <c r="G350" s="1026"/>
      <c r="H350" s="1026"/>
      <c r="I350" s="1026"/>
      <c r="J350" s="1026"/>
      <c r="K350" s="1026"/>
      <c r="L350" s="1026"/>
      <c r="M350" s="1026"/>
      <c r="N350" s="1026"/>
      <c r="O350" s="1026"/>
      <c r="P350" s="1026"/>
      <c r="Q350" s="1026"/>
      <c r="R350" s="1026"/>
      <c r="S350" s="1026"/>
      <c r="T350" s="1026"/>
      <c r="U350" s="1026"/>
      <c r="V350" s="1026"/>
      <c r="W350" s="1026"/>
      <c r="X350" s="1026"/>
      <c r="Y350" s="1026"/>
      <c r="Z350" s="1026"/>
    </row>
    <row r="351" spans="1:26">
      <c r="A351" s="1026"/>
      <c r="B351" s="1026"/>
      <c r="C351" s="1026"/>
      <c r="D351" s="1026"/>
      <c r="E351" s="1026"/>
      <c r="F351" s="1026"/>
      <c r="G351" s="1026"/>
      <c r="H351" s="1026"/>
      <c r="I351" s="1026"/>
      <c r="J351" s="1026"/>
      <c r="K351" s="1026"/>
      <c r="L351" s="1026"/>
      <c r="M351" s="1026"/>
      <c r="N351" s="1026"/>
      <c r="O351" s="1026"/>
      <c r="P351" s="1026"/>
      <c r="Q351" s="1026"/>
      <c r="R351" s="1026"/>
      <c r="S351" s="1026"/>
      <c r="T351" s="1026"/>
      <c r="U351" s="1026"/>
      <c r="V351" s="1026"/>
      <c r="W351" s="1026"/>
      <c r="X351" s="1026"/>
      <c r="Y351" s="1026"/>
      <c r="Z351" s="1026"/>
    </row>
    <row r="352" spans="1:26">
      <c r="A352" s="1026"/>
      <c r="B352" s="1026"/>
      <c r="C352" s="1026"/>
      <c r="D352" s="1026"/>
      <c r="E352" s="1026"/>
      <c r="F352" s="1026"/>
      <c r="G352" s="1026"/>
      <c r="H352" s="1026"/>
      <c r="I352" s="1026"/>
      <c r="J352" s="1026"/>
      <c r="K352" s="1026"/>
      <c r="L352" s="1026"/>
      <c r="M352" s="1026"/>
      <c r="N352" s="1026"/>
      <c r="O352" s="1026"/>
      <c r="P352" s="1026"/>
      <c r="Q352" s="1026"/>
      <c r="R352" s="1026"/>
      <c r="S352" s="1026"/>
      <c r="T352" s="1026"/>
      <c r="U352" s="1026"/>
      <c r="V352" s="1026"/>
      <c r="W352" s="1026"/>
      <c r="X352" s="1026"/>
      <c r="Y352" s="1026"/>
      <c r="Z352" s="1026"/>
    </row>
    <row r="353" spans="1:26">
      <c r="A353" s="1026"/>
      <c r="B353" s="1026"/>
      <c r="C353" s="1026"/>
      <c r="D353" s="1026"/>
      <c r="E353" s="1026"/>
      <c r="F353" s="1026"/>
      <c r="G353" s="1026"/>
      <c r="H353" s="1026"/>
      <c r="I353" s="1026"/>
      <c r="J353" s="1026"/>
      <c r="K353" s="1026"/>
      <c r="L353" s="1026"/>
      <c r="M353" s="1026"/>
      <c r="N353" s="1026"/>
      <c r="O353" s="1026"/>
      <c r="P353" s="1026"/>
      <c r="Q353" s="1026"/>
      <c r="R353" s="1026"/>
      <c r="S353" s="1026"/>
      <c r="T353" s="1026"/>
      <c r="U353" s="1026"/>
      <c r="V353" s="1026"/>
      <c r="W353" s="1026"/>
      <c r="X353" s="1026"/>
      <c r="Y353" s="1026"/>
      <c r="Z353" s="1026"/>
    </row>
    <row r="354" spans="1:26">
      <c r="A354" s="1026"/>
      <c r="B354" s="1026"/>
      <c r="C354" s="1026"/>
      <c r="D354" s="1026"/>
      <c r="E354" s="1026"/>
      <c r="F354" s="1026"/>
      <c r="G354" s="1026"/>
      <c r="H354" s="1026"/>
      <c r="I354" s="1026"/>
      <c r="J354" s="1026"/>
      <c r="K354" s="1026"/>
      <c r="L354" s="1026"/>
      <c r="M354" s="1026"/>
      <c r="N354" s="1026"/>
      <c r="O354" s="1026"/>
      <c r="P354" s="1026"/>
      <c r="Q354" s="1026"/>
      <c r="R354" s="1026"/>
      <c r="S354" s="1026"/>
      <c r="T354" s="1026"/>
      <c r="U354" s="1026"/>
      <c r="V354" s="1026"/>
      <c r="W354" s="1026"/>
      <c r="X354" s="1026"/>
      <c r="Y354" s="1026"/>
      <c r="Z354" s="1026"/>
    </row>
    <row r="355" spans="1:26">
      <c r="A355" s="1026"/>
      <c r="B355" s="1026"/>
      <c r="C355" s="1026"/>
      <c r="D355" s="1026"/>
      <c r="E355" s="1026"/>
      <c r="F355" s="1026"/>
      <c r="G355" s="1026"/>
      <c r="H355" s="1026"/>
      <c r="I355" s="1026"/>
      <c r="J355" s="1026"/>
      <c r="K355" s="1026"/>
      <c r="L355" s="1026"/>
      <c r="M355" s="1026"/>
      <c r="N355" s="1026"/>
      <c r="O355" s="1026"/>
      <c r="P355" s="1026"/>
      <c r="Q355" s="1026"/>
      <c r="R355" s="1026"/>
      <c r="S355" s="1026"/>
      <c r="T355" s="1026"/>
      <c r="U355" s="1026"/>
      <c r="V355" s="1026"/>
      <c r="W355" s="1026"/>
      <c r="X355" s="1026"/>
      <c r="Y355" s="1026"/>
      <c r="Z355" s="1026"/>
    </row>
    <row r="356" spans="1:26">
      <c r="A356" s="1026"/>
      <c r="B356" s="1026"/>
      <c r="C356" s="1026"/>
      <c r="D356" s="1026"/>
      <c r="E356" s="1026"/>
      <c r="F356" s="1026"/>
      <c r="G356" s="1026"/>
      <c r="H356" s="1026"/>
      <c r="I356" s="1026"/>
      <c r="J356" s="1026"/>
      <c r="K356" s="1026"/>
      <c r="L356" s="1026"/>
      <c r="M356" s="1026"/>
      <c r="N356" s="1026"/>
      <c r="O356" s="1026"/>
      <c r="P356" s="1026"/>
      <c r="Q356" s="1026"/>
      <c r="R356" s="1026"/>
      <c r="S356" s="1026"/>
      <c r="T356" s="1026"/>
      <c r="U356" s="1026"/>
      <c r="V356" s="1026"/>
      <c r="W356" s="1026"/>
      <c r="X356" s="1026"/>
      <c r="Y356" s="1026"/>
      <c r="Z356" s="1026"/>
    </row>
    <row r="357" spans="1:26">
      <c r="A357" s="1026"/>
      <c r="B357" s="1026"/>
      <c r="C357" s="1026"/>
      <c r="D357" s="1026"/>
      <c r="E357" s="1026"/>
      <c r="F357" s="1026"/>
      <c r="G357" s="1026"/>
      <c r="H357" s="1026"/>
      <c r="I357" s="1026"/>
      <c r="J357" s="1026"/>
      <c r="K357" s="1026"/>
      <c r="L357" s="1026"/>
      <c r="M357" s="1026"/>
      <c r="N357" s="1026"/>
      <c r="O357" s="1026"/>
      <c r="P357" s="1026"/>
      <c r="Q357" s="1026"/>
      <c r="R357" s="1026"/>
      <c r="S357" s="1026"/>
      <c r="T357" s="1026"/>
      <c r="U357" s="1026"/>
      <c r="V357" s="1026"/>
      <c r="W357" s="1026"/>
      <c r="X357" s="1026"/>
      <c r="Y357" s="1026"/>
      <c r="Z357" s="1026"/>
    </row>
    <row r="358" spans="1:26">
      <c r="A358" s="1026"/>
      <c r="B358" s="1026"/>
      <c r="C358" s="1026"/>
      <c r="D358" s="1026"/>
      <c r="E358" s="1026"/>
      <c r="F358" s="1026"/>
      <c r="G358" s="1026"/>
      <c r="H358" s="1026"/>
      <c r="I358" s="1026"/>
      <c r="J358" s="1026"/>
      <c r="K358" s="1026"/>
      <c r="L358" s="1026"/>
      <c r="M358" s="1026"/>
      <c r="N358" s="1026"/>
      <c r="O358" s="1026"/>
      <c r="P358" s="1026"/>
      <c r="Q358" s="1026"/>
      <c r="R358" s="1026"/>
      <c r="S358" s="1026"/>
      <c r="T358" s="1026"/>
      <c r="U358" s="1026"/>
      <c r="V358" s="1026"/>
      <c r="W358" s="1026"/>
      <c r="X358" s="1026"/>
      <c r="Y358" s="1026"/>
      <c r="Z358" s="1026"/>
    </row>
    <row r="359" spans="1:26">
      <c r="A359" s="1026"/>
      <c r="B359" s="1026"/>
      <c r="C359" s="1026"/>
      <c r="D359" s="1026"/>
      <c r="E359" s="1026"/>
      <c r="F359" s="1026"/>
      <c r="G359" s="1026"/>
      <c r="H359" s="1026"/>
      <c r="I359" s="1026"/>
      <c r="J359" s="1026"/>
      <c r="K359" s="1026"/>
      <c r="L359" s="1026"/>
      <c r="M359" s="1026"/>
      <c r="N359" s="1026"/>
      <c r="O359" s="1026"/>
      <c r="P359" s="1026"/>
      <c r="Q359" s="1026"/>
      <c r="R359" s="1026"/>
      <c r="S359" s="1026"/>
      <c r="T359" s="1026"/>
      <c r="U359" s="1026"/>
      <c r="V359" s="1026"/>
      <c r="W359" s="1026"/>
      <c r="X359" s="1026"/>
      <c r="Y359" s="1026"/>
      <c r="Z359" s="1026"/>
    </row>
    <row r="360" spans="1:26">
      <c r="A360" s="1026"/>
      <c r="B360" s="1026"/>
      <c r="C360" s="1026"/>
      <c r="D360" s="1026"/>
      <c r="E360" s="1026"/>
      <c r="F360" s="1026"/>
      <c r="G360" s="1026"/>
      <c r="H360" s="1026"/>
      <c r="I360" s="1026"/>
      <c r="J360" s="1026"/>
      <c r="K360" s="1026"/>
      <c r="L360" s="1026"/>
      <c r="M360" s="1026"/>
      <c r="N360" s="1026"/>
      <c r="O360" s="1026"/>
      <c r="P360" s="1026"/>
      <c r="Q360" s="1026"/>
      <c r="R360" s="1026"/>
      <c r="S360" s="1026"/>
      <c r="T360" s="1026"/>
      <c r="U360" s="1026"/>
      <c r="V360" s="1026"/>
      <c r="W360" s="1026"/>
      <c r="X360" s="1026"/>
      <c r="Y360" s="1026"/>
      <c r="Z360" s="1026"/>
    </row>
    <row r="361" spans="1:26">
      <c r="A361" s="1026"/>
      <c r="B361" s="1026"/>
      <c r="C361" s="1026"/>
      <c r="D361" s="1026"/>
      <c r="E361" s="1026"/>
      <c r="F361" s="1026"/>
      <c r="G361" s="1026"/>
      <c r="H361" s="1026"/>
      <c r="I361" s="1026"/>
      <c r="J361" s="1026"/>
      <c r="K361" s="1026"/>
      <c r="L361" s="1026"/>
      <c r="M361" s="1026"/>
      <c r="N361" s="1026"/>
      <c r="O361" s="1026"/>
      <c r="P361" s="1026"/>
      <c r="Q361" s="1026"/>
      <c r="R361" s="1026"/>
      <c r="S361" s="1026"/>
      <c r="T361" s="1026"/>
      <c r="U361" s="1026"/>
      <c r="V361" s="1026"/>
      <c r="W361" s="1026"/>
      <c r="X361" s="1026"/>
      <c r="Y361" s="1026"/>
      <c r="Z361" s="1026"/>
    </row>
    <row r="362" spans="1:26">
      <c r="A362" s="1026"/>
      <c r="B362" s="1026"/>
      <c r="C362" s="1026"/>
      <c r="D362" s="1026"/>
      <c r="E362" s="1026"/>
      <c r="F362" s="1026"/>
      <c r="G362" s="1026"/>
      <c r="H362" s="1026"/>
      <c r="I362" s="1026"/>
      <c r="J362" s="1026"/>
      <c r="K362" s="1026"/>
      <c r="L362" s="1026"/>
      <c r="M362" s="1026"/>
      <c r="N362" s="1026"/>
      <c r="O362" s="1026"/>
      <c r="P362" s="1026"/>
      <c r="Q362" s="1026"/>
      <c r="R362" s="1026"/>
      <c r="S362" s="1026"/>
      <c r="T362" s="1026"/>
      <c r="U362" s="1026"/>
      <c r="V362" s="1026"/>
      <c r="W362" s="1026"/>
      <c r="X362" s="1026"/>
      <c r="Y362" s="1026"/>
      <c r="Z362" s="1026"/>
    </row>
    <row r="363" spans="1:26">
      <c r="A363" s="1026"/>
      <c r="B363" s="1026"/>
      <c r="C363" s="1026"/>
      <c r="D363" s="1026"/>
      <c r="E363" s="1026"/>
      <c r="F363" s="1026"/>
      <c r="G363" s="1026"/>
      <c r="H363" s="1026"/>
      <c r="I363" s="1026"/>
      <c r="J363" s="1026"/>
      <c r="K363" s="1026"/>
      <c r="L363" s="1026"/>
      <c r="M363" s="1026"/>
      <c r="N363" s="1026"/>
      <c r="O363" s="1026"/>
      <c r="P363" s="1026"/>
      <c r="Q363" s="1026"/>
      <c r="R363" s="1026"/>
      <c r="S363" s="1026"/>
      <c r="T363" s="1026"/>
      <c r="U363" s="1026"/>
      <c r="V363" s="1026"/>
      <c r="W363" s="1026"/>
      <c r="X363" s="1026"/>
      <c r="Y363" s="1026"/>
      <c r="Z363" s="1026"/>
    </row>
    <row r="364" spans="1:26">
      <c r="A364" s="1026"/>
      <c r="B364" s="1026"/>
      <c r="C364" s="1026"/>
      <c r="D364" s="1026"/>
      <c r="E364" s="1026"/>
      <c r="F364" s="1026"/>
      <c r="G364" s="1026"/>
      <c r="H364" s="1026"/>
      <c r="I364" s="1026"/>
      <c r="J364" s="1026"/>
      <c r="K364" s="1026"/>
      <c r="L364" s="1026"/>
      <c r="M364" s="1026"/>
      <c r="N364" s="1026"/>
      <c r="O364" s="1026"/>
      <c r="P364" s="1026"/>
      <c r="Q364" s="1026"/>
      <c r="R364" s="1026"/>
      <c r="S364" s="1026"/>
      <c r="T364" s="1026"/>
      <c r="U364" s="1026"/>
      <c r="V364" s="1026"/>
      <c r="W364" s="1026"/>
      <c r="X364" s="1026"/>
      <c r="Y364" s="1026"/>
      <c r="Z364" s="1026"/>
    </row>
    <row r="365" spans="1:26">
      <c r="A365" s="1026"/>
      <c r="B365" s="1026"/>
      <c r="C365" s="1026"/>
      <c r="D365" s="1026"/>
      <c r="E365" s="1026"/>
      <c r="F365" s="1026"/>
      <c r="G365" s="1026"/>
      <c r="H365" s="1026"/>
      <c r="I365" s="1026"/>
      <c r="J365" s="1026"/>
      <c r="K365" s="1026"/>
      <c r="L365" s="1026"/>
      <c r="M365" s="1026"/>
      <c r="N365" s="1026"/>
      <c r="O365" s="1026"/>
      <c r="P365" s="1026"/>
      <c r="Q365" s="1026"/>
      <c r="R365" s="1026"/>
      <c r="S365" s="1026"/>
      <c r="T365" s="1026"/>
      <c r="U365" s="1026"/>
      <c r="V365" s="1026"/>
      <c r="W365" s="1026"/>
      <c r="X365" s="1026"/>
      <c r="Y365" s="1026"/>
      <c r="Z365" s="1026"/>
    </row>
    <row r="366" spans="1:26">
      <c r="A366" s="1026"/>
      <c r="B366" s="1026"/>
      <c r="C366" s="1026"/>
      <c r="D366" s="1026"/>
      <c r="E366" s="1026"/>
      <c r="F366" s="1026"/>
      <c r="G366" s="1026"/>
      <c r="H366" s="1026"/>
      <c r="I366" s="1026"/>
      <c r="J366" s="1026"/>
      <c r="K366" s="1026"/>
      <c r="L366" s="1026"/>
      <c r="M366" s="1026"/>
      <c r="N366" s="1026"/>
      <c r="O366" s="1026"/>
      <c r="P366" s="1026"/>
      <c r="Q366" s="1026"/>
      <c r="R366" s="1026"/>
      <c r="S366" s="1026"/>
      <c r="T366" s="1026"/>
      <c r="U366" s="1026"/>
      <c r="V366" s="1026"/>
      <c r="W366" s="1026"/>
      <c r="X366" s="1026"/>
      <c r="Y366" s="1026"/>
      <c r="Z366" s="1026"/>
    </row>
    <row r="367" spans="1:26">
      <c r="A367" s="1026"/>
      <c r="B367" s="1026"/>
      <c r="C367" s="1026"/>
      <c r="D367" s="1026"/>
      <c r="E367" s="1026"/>
      <c r="F367" s="1026"/>
      <c r="G367" s="1026"/>
      <c r="H367" s="1026"/>
      <c r="I367" s="1026"/>
      <c r="J367" s="1026"/>
      <c r="K367" s="1026"/>
      <c r="L367" s="1026"/>
      <c r="M367" s="1026"/>
      <c r="N367" s="1026"/>
      <c r="O367" s="1026"/>
      <c r="P367" s="1026"/>
      <c r="Q367" s="1026"/>
      <c r="R367" s="1026"/>
      <c r="S367" s="1026"/>
      <c r="T367" s="1026"/>
      <c r="U367" s="1026"/>
      <c r="V367" s="1026"/>
      <c r="W367" s="1026"/>
      <c r="X367" s="1026"/>
      <c r="Y367" s="1026"/>
      <c r="Z367" s="1026"/>
    </row>
    <row r="368" spans="1:26">
      <c r="A368" s="1026"/>
      <c r="B368" s="1026"/>
      <c r="C368" s="1026"/>
      <c r="D368" s="1026"/>
      <c r="E368" s="1026"/>
      <c r="F368" s="1026"/>
      <c r="G368" s="1026"/>
      <c r="H368" s="1026"/>
      <c r="I368" s="1026"/>
      <c r="J368" s="1026"/>
      <c r="K368" s="1026"/>
      <c r="L368" s="1026"/>
      <c r="M368" s="1026"/>
      <c r="N368" s="1026"/>
      <c r="O368" s="1026"/>
      <c r="P368" s="1026"/>
      <c r="Q368" s="1026"/>
      <c r="R368" s="1026"/>
      <c r="S368" s="1026"/>
      <c r="T368" s="1026"/>
      <c r="U368" s="1026"/>
      <c r="V368" s="1026"/>
      <c r="W368" s="1026"/>
      <c r="X368" s="1026"/>
      <c r="Y368" s="1026"/>
      <c r="Z368" s="1026"/>
    </row>
    <row r="369" spans="1:26">
      <c r="A369" s="1026"/>
      <c r="B369" s="1026"/>
      <c r="C369" s="1026"/>
      <c r="D369" s="1026"/>
      <c r="E369" s="1026"/>
      <c r="F369" s="1026"/>
      <c r="G369" s="1026"/>
      <c r="H369" s="1026"/>
      <c r="I369" s="1026"/>
      <c r="J369" s="1026"/>
      <c r="K369" s="1026"/>
      <c r="L369" s="1026"/>
      <c r="M369" s="1026"/>
      <c r="N369" s="1026"/>
      <c r="O369" s="1026"/>
      <c r="P369" s="1026"/>
      <c r="Q369" s="1026"/>
      <c r="R369" s="1026"/>
      <c r="S369" s="1026"/>
      <c r="T369" s="1026"/>
      <c r="U369" s="1026"/>
      <c r="V369" s="1026"/>
      <c r="W369" s="1026"/>
      <c r="X369" s="1026"/>
      <c r="Y369" s="1026"/>
      <c r="Z369" s="1026"/>
    </row>
    <row r="370" spans="1:26">
      <c r="A370" s="1026"/>
      <c r="B370" s="1026"/>
      <c r="C370" s="1026"/>
      <c r="D370" s="1026"/>
      <c r="E370" s="1026"/>
      <c r="F370" s="1026"/>
      <c r="G370" s="1026"/>
      <c r="H370" s="1026"/>
      <c r="I370" s="1026"/>
      <c r="J370" s="1026"/>
      <c r="K370" s="1026"/>
      <c r="L370" s="1026"/>
      <c r="M370" s="1026"/>
      <c r="N370" s="1026"/>
      <c r="O370" s="1026"/>
      <c r="P370" s="1026"/>
      <c r="Q370" s="1026"/>
      <c r="R370" s="1026"/>
      <c r="S370" s="1026"/>
      <c r="T370" s="1026"/>
      <c r="U370" s="1026"/>
      <c r="V370" s="1026"/>
      <c r="W370" s="1026"/>
      <c r="X370" s="1026"/>
      <c r="Y370" s="1026"/>
      <c r="Z370" s="1026"/>
    </row>
    <row r="371" spans="1:26">
      <c r="A371" s="1026"/>
      <c r="B371" s="1026"/>
      <c r="C371" s="1026"/>
      <c r="D371" s="1026"/>
      <c r="E371" s="1026"/>
      <c r="F371" s="1026"/>
      <c r="G371" s="1026"/>
      <c r="H371" s="1026"/>
      <c r="I371" s="1026"/>
      <c r="J371" s="1026"/>
      <c r="K371" s="1026"/>
      <c r="L371" s="1026"/>
      <c r="M371" s="1026"/>
      <c r="N371" s="1026"/>
      <c r="O371" s="1026"/>
      <c r="P371" s="1026"/>
      <c r="Q371" s="1026"/>
      <c r="R371" s="1026"/>
      <c r="S371" s="1026"/>
      <c r="T371" s="1026"/>
      <c r="U371" s="1026"/>
      <c r="V371" s="1026"/>
      <c r="W371" s="1026"/>
      <c r="X371" s="1026"/>
      <c r="Y371" s="1026"/>
      <c r="Z371" s="1026"/>
    </row>
    <row r="372" spans="1:26">
      <c r="A372" s="1026"/>
      <c r="B372" s="1026"/>
      <c r="C372" s="1026"/>
      <c r="D372" s="1026"/>
      <c r="E372" s="1026"/>
      <c r="F372" s="1026"/>
      <c r="G372" s="1026"/>
      <c r="H372" s="1026"/>
      <c r="I372" s="1026"/>
      <c r="J372" s="1026"/>
      <c r="K372" s="1026"/>
      <c r="L372" s="1026"/>
      <c r="M372" s="1026"/>
      <c r="N372" s="1026"/>
      <c r="O372" s="1026"/>
      <c r="P372" s="1026"/>
      <c r="Q372" s="1026"/>
      <c r="R372" s="1026"/>
      <c r="S372" s="1026"/>
      <c r="T372" s="1026"/>
      <c r="U372" s="1026"/>
      <c r="V372" s="1026"/>
      <c r="W372" s="1026"/>
      <c r="X372" s="1026"/>
      <c r="Y372" s="1026"/>
      <c r="Z372" s="1026"/>
    </row>
    <row r="373" spans="1:26">
      <c r="A373" s="1026"/>
      <c r="B373" s="1026"/>
      <c r="C373" s="1026"/>
      <c r="D373" s="1026"/>
      <c r="E373" s="1026"/>
      <c r="F373" s="1026"/>
      <c r="G373" s="1026"/>
      <c r="H373" s="1026"/>
      <c r="I373" s="1026"/>
      <c r="J373" s="1026"/>
      <c r="K373" s="1026"/>
      <c r="L373" s="1026"/>
      <c r="M373" s="1026"/>
      <c r="N373" s="1026"/>
      <c r="O373" s="1026"/>
      <c r="P373" s="1026"/>
      <c r="Q373" s="1026"/>
      <c r="R373" s="1026"/>
      <c r="S373" s="1026"/>
      <c r="T373" s="1026"/>
      <c r="U373" s="1026"/>
      <c r="V373" s="1026"/>
      <c r="W373" s="1026"/>
      <c r="X373" s="1026"/>
      <c r="Y373" s="1026"/>
      <c r="Z373" s="1026"/>
    </row>
    <row r="374" spans="1:26">
      <c r="A374" s="1026"/>
      <c r="B374" s="1026"/>
      <c r="C374" s="1026"/>
      <c r="D374" s="1026"/>
      <c r="E374" s="1026"/>
      <c r="F374" s="1026"/>
      <c r="G374" s="1026"/>
      <c r="H374" s="1026"/>
      <c r="I374" s="1026"/>
      <c r="J374" s="1026"/>
      <c r="K374" s="1026"/>
      <c r="L374" s="1026"/>
      <c r="M374" s="1026"/>
      <c r="N374" s="1026"/>
      <c r="O374" s="1026"/>
      <c r="P374" s="1026"/>
      <c r="Q374" s="1026"/>
      <c r="R374" s="1026"/>
      <c r="S374" s="1026"/>
      <c r="T374" s="1026"/>
      <c r="U374" s="1026"/>
      <c r="V374" s="1026"/>
      <c r="W374" s="1026"/>
      <c r="X374" s="1026"/>
      <c r="Y374" s="1026"/>
      <c r="Z374" s="1026"/>
    </row>
    <row r="375" spans="1:26">
      <c r="A375" s="1026"/>
      <c r="B375" s="1026"/>
      <c r="C375" s="1026"/>
      <c r="D375" s="1026"/>
      <c r="E375" s="1026"/>
      <c r="F375" s="1026"/>
      <c r="G375" s="1026"/>
      <c r="H375" s="1026"/>
      <c r="I375" s="1026"/>
      <c r="J375" s="1026"/>
      <c r="K375" s="1026"/>
      <c r="L375" s="1026"/>
      <c r="M375" s="1026"/>
      <c r="N375" s="1026"/>
      <c r="O375" s="1026"/>
      <c r="P375" s="1026"/>
      <c r="Q375" s="1026"/>
      <c r="R375" s="1026"/>
      <c r="S375" s="1026"/>
      <c r="T375" s="1026"/>
      <c r="U375" s="1026"/>
      <c r="V375" s="1026"/>
      <c r="W375" s="1026"/>
      <c r="X375" s="1026"/>
      <c r="Y375" s="1026"/>
      <c r="Z375" s="1026"/>
    </row>
    <row r="376" spans="1:26">
      <c r="A376" s="1026"/>
      <c r="B376" s="1026"/>
      <c r="C376" s="1026"/>
      <c r="D376" s="1026"/>
      <c r="E376" s="1026"/>
      <c r="F376" s="1026"/>
      <c r="G376" s="1026"/>
      <c r="H376" s="1026"/>
      <c r="I376" s="1026"/>
      <c r="J376" s="1026"/>
      <c r="K376" s="1026"/>
      <c r="L376" s="1026"/>
      <c r="M376" s="1026"/>
      <c r="N376" s="1026"/>
      <c r="O376" s="1026"/>
      <c r="P376" s="1026"/>
      <c r="Q376" s="1026"/>
      <c r="R376" s="1026"/>
      <c r="S376" s="1026"/>
      <c r="T376" s="1026"/>
      <c r="U376" s="1026"/>
      <c r="V376" s="1026"/>
      <c r="W376" s="1026"/>
      <c r="X376" s="1026"/>
      <c r="Y376" s="1026"/>
      <c r="Z376" s="1026"/>
    </row>
    <row r="377" spans="1:26">
      <c r="A377" s="1026"/>
      <c r="B377" s="1026"/>
      <c r="C377" s="1026"/>
      <c r="D377" s="1026"/>
      <c r="E377" s="1026"/>
      <c r="F377" s="1026"/>
      <c r="G377" s="1026"/>
      <c r="H377" s="1026"/>
      <c r="I377" s="1026"/>
      <c r="J377" s="1026"/>
      <c r="K377" s="1026"/>
      <c r="L377" s="1026"/>
      <c r="M377" s="1026"/>
      <c r="N377" s="1026"/>
      <c r="O377" s="1026"/>
      <c r="P377" s="1026"/>
      <c r="Q377" s="1026"/>
      <c r="R377" s="1026"/>
      <c r="S377" s="1026"/>
      <c r="T377" s="1026"/>
      <c r="U377" s="1026"/>
      <c r="V377" s="1026"/>
      <c r="W377" s="1026"/>
      <c r="X377" s="1026"/>
      <c r="Y377" s="1026"/>
      <c r="Z377" s="1026"/>
    </row>
    <row r="378" spans="1:26">
      <c r="A378" s="1026"/>
      <c r="B378" s="1026"/>
      <c r="C378" s="1026"/>
      <c r="D378" s="1026"/>
      <c r="E378" s="1026"/>
      <c r="F378" s="1026"/>
      <c r="G378" s="1026"/>
      <c r="H378" s="1026"/>
      <c r="I378" s="1026"/>
      <c r="J378" s="1026"/>
      <c r="K378" s="1026"/>
      <c r="L378" s="1026"/>
      <c r="M378" s="1026"/>
      <c r="N378" s="1026"/>
      <c r="O378" s="1026"/>
      <c r="P378" s="1026"/>
      <c r="Q378" s="1026"/>
      <c r="R378" s="1026"/>
      <c r="S378" s="1026"/>
      <c r="T378" s="1026"/>
      <c r="U378" s="1026"/>
      <c r="V378" s="1026"/>
      <c r="W378" s="1026"/>
      <c r="X378" s="1026"/>
      <c r="Y378" s="1026"/>
      <c r="Z378" s="1026"/>
    </row>
    <row r="379" spans="1:26">
      <c r="A379" s="1026"/>
      <c r="B379" s="1026"/>
      <c r="C379" s="1026"/>
      <c r="D379" s="1026"/>
      <c r="E379" s="1026"/>
      <c r="F379" s="1026"/>
      <c r="G379" s="1026"/>
      <c r="H379" s="1026"/>
      <c r="I379" s="1026"/>
      <c r="J379" s="1026"/>
      <c r="K379" s="1026"/>
      <c r="L379" s="1026"/>
      <c r="M379" s="1026"/>
      <c r="N379" s="1026"/>
      <c r="O379" s="1026"/>
      <c r="P379" s="1026"/>
      <c r="Q379" s="1026"/>
      <c r="R379" s="1026"/>
      <c r="S379" s="1026"/>
      <c r="T379" s="1026"/>
      <c r="U379" s="1026"/>
      <c r="V379" s="1026"/>
      <c r="W379" s="1026"/>
      <c r="X379" s="1026"/>
      <c r="Y379" s="1026"/>
      <c r="Z379" s="1026"/>
    </row>
    <row r="380" spans="1:26">
      <c r="A380" s="1026"/>
      <c r="B380" s="1026"/>
      <c r="C380" s="1026"/>
      <c r="D380" s="1026"/>
      <c r="E380" s="1026"/>
      <c r="F380" s="1026"/>
      <c r="G380" s="1026"/>
      <c r="H380" s="1026"/>
      <c r="I380" s="1026"/>
      <c r="J380" s="1026"/>
      <c r="K380" s="1026"/>
      <c r="L380" s="1026"/>
      <c r="M380" s="1026"/>
      <c r="N380" s="1026"/>
      <c r="O380" s="1026"/>
      <c r="P380" s="1026"/>
      <c r="Q380" s="1026"/>
      <c r="R380" s="1026"/>
      <c r="S380" s="1026"/>
      <c r="T380" s="1026"/>
      <c r="U380" s="1026"/>
      <c r="V380" s="1026"/>
      <c r="W380" s="1026"/>
      <c r="X380" s="1026"/>
      <c r="Y380" s="1026"/>
      <c r="Z380" s="1026"/>
    </row>
    <row r="381" spans="1:26">
      <c r="A381" s="1026"/>
      <c r="B381" s="1026"/>
      <c r="C381" s="1026"/>
      <c r="D381" s="1026"/>
      <c r="E381" s="1026"/>
      <c r="F381" s="1026"/>
      <c r="G381" s="1026"/>
      <c r="H381" s="1026"/>
      <c r="I381" s="1026"/>
      <c r="J381" s="1026"/>
      <c r="K381" s="1026"/>
      <c r="L381" s="1026"/>
      <c r="M381" s="1026"/>
      <c r="N381" s="1026"/>
      <c r="O381" s="1026"/>
      <c r="P381" s="1026"/>
      <c r="Q381" s="1026"/>
      <c r="R381" s="1026"/>
      <c r="S381" s="1026"/>
      <c r="T381" s="1026"/>
      <c r="U381" s="1026"/>
      <c r="V381" s="1026"/>
      <c r="W381" s="1026"/>
      <c r="X381" s="1026"/>
      <c r="Y381" s="1026"/>
      <c r="Z381" s="1026"/>
    </row>
    <row r="382" spans="1:26">
      <c r="A382" s="1026"/>
      <c r="B382" s="1026"/>
      <c r="C382" s="1026"/>
      <c r="D382" s="1026"/>
      <c r="E382" s="1026"/>
      <c r="F382" s="1026"/>
      <c r="G382" s="1026"/>
      <c r="H382" s="1026"/>
      <c r="I382" s="1026"/>
      <c r="J382" s="1026"/>
      <c r="K382" s="1026"/>
      <c r="L382" s="1026"/>
      <c r="M382" s="1026"/>
      <c r="N382" s="1026"/>
      <c r="O382" s="1026"/>
      <c r="P382" s="1026"/>
      <c r="Q382" s="1026"/>
      <c r="R382" s="1026"/>
      <c r="S382" s="1026"/>
      <c r="T382" s="1026"/>
      <c r="U382" s="1026"/>
      <c r="V382" s="1026"/>
      <c r="W382" s="1026"/>
      <c r="X382" s="1026"/>
      <c r="Y382" s="1026"/>
      <c r="Z382" s="1026"/>
    </row>
    <row r="383" spans="1:26">
      <c r="A383" s="1026"/>
      <c r="B383" s="1026"/>
      <c r="C383" s="1026"/>
      <c r="D383" s="1026"/>
      <c r="E383" s="1026"/>
      <c r="F383" s="1026"/>
      <c r="G383" s="1026"/>
      <c r="H383" s="1026"/>
      <c r="I383" s="1026"/>
      <c r="J383" s="1026"/>
      <c r="K383" s="1026"/>
      <c r="L383" s="1026"/>
      <c r="M383" s="1026"/>
      <c r="N383" s="1026"/>
      <c r="O383" s="1026"/>
      <c r="P383" s="1026"/>
      <c r="Q383" s="1026"/>
      <c r="R383" s="1026"/>
      <c r="S383" s="1026"/>
      <c r="T383" s="1026"/>
      <c r="U383" s="1026"/>
      <c r="V383" s="1026"/>
      <c r="W383" s="1026"/>
      <c r="X383" s="1026"/>
      <c r="Y383" s="1026"/>
      <c r="Z383" s="1026"/>
    </row>
    <row r="384" spans="1:26">
      <c r="A384" s="1026"/>
      <c r="B384" s="1026"/>
      <c r="C384" s="1026"/>
      <c r="D384" s="1026"/>
      <c r="E384" s="1026"/>
      <c r="F384" s="1026"/>
      <c r="G384" s="1026"/>
      <c r="H384" s="1026"/>
      <c r="I384" s="1026"/>
      <c r="J384" s="1026"/>
      <c r="K384" s="1026"/>
      <c r="L384" s="1026"/>
      <c r="M384" s="1026"/>
      <c r="N384" s="1026"/>
      <c r="O384" s="1026"/>
      <c r="P384" s="1026"/>
      <c r="Q384" s="1026"/>
      <c r="R384" s="1026"/>
      <c r="S384" s="1026"/>
      <c r="T384" s="1026"/>
      <c r="U384" s="1026"/>
      <c r="V384" s="1026"/>
      <c r="W384" s="1026"/>
      <c r="X384" s="1026"/>
      <c r="Y384" s="1026"/>
      <c r="Z384" s="1026"/>
    </row>
    <row r="385" spans="1:26">
      <c r="A385" s="1026"/>
      <c r="B385" s="1026"/>
      <c r="C385" s="1026"/>
      <c r="D385" s="1026"/>
      <c r="E385" s="1026"/>
      <c r="F385" s="1026"/>
      <c r="G385" s="1026"/>
      <c r="H385" s="1026"/>
      <c r="I385" s="1026"/>
      <c r="J385" s="1026"/>
      <c r="K385" s="1026"/>
      <c r="L385" s="1026"/>
      <c r="M385" s="1026"/>
      <c r="N385" s="1026"/>
      <c r="O385" s="1026"/>
      <c r="P385" s="1026"/>
      <c r="Q385" s="1026"/>
      <c r="R385" s="1026"/>
      <c r="S385" s="1026"/>
      <c r="T385" s="1026"/>
      <c r="U385" s="1026"/>
      <c r="V385" s="1026"/>
      <c r="W385" s="1026"/>
      <c r="X385" s="1026"/>
      <c r="Y385" s="1026"/>
      <c r="Z385" s="1026"/>
    </row>
    <row r="386" spans="1:26">
      <c r="A386" s="1026"/>
      <c r="B386" s="1026"/>
      <c r="C386" s="1026"/>
      <c r="D386" s="1026"/>
      <c r="E386" s="1026"/>
      <c r="F386" s="1026"/>
      <c r="G386" s="1026"/>
      <c r="H386" s="1026"/>
      <c r="I386" s="1026"/>
      <c r="J386" s="1026"/>
      <c r="K386" s="1026"/>
      <c r="L386" s="1026"/>
      <c r="M386" s="1026"/>
      <c r="N386" s="1026"/>
      <c r="O386" s="1026"/>
      <c r="P386" s="1026"/>
      <c r="Q386" s="1026"/>
      <c r="R386" s="1026"/>
      <c r="S386" s="1026"/>
      <c r="T386" s="1026"/>
      <c r="U386" s="1026"/>
      <c r="V386" s="1026"/>
      <c r="W386" s="1026"/>
      <c r="X386" s="1026"/>
      <c r="Y386" s="1026"/>
      <c r="Z386" s="1026"/>
    </row>
    <row r="387" spans="1:26">
      <c r="A387" s="1026"/>
      <c r="B387" s="1026"/>
      <c r="C387" s="1026"/>
      <c r="D387" s="1026"/>
      <c r="E387" s="1026"/>
      <c r="F387" s="1026"/>
      <c r="G387" s="1026"/>
      <c r="H387" s="1026"/>
      <c r="I387" s="1026"/>
      <c r="J387" s="1026"/>
      <c r="K387" s="1026"/>
      <c r="L387" s="1026"/>
      <c r="M387" s="1026"/>
      <c r="N387" s="1026"/>
      <c r="O387" s="1026"/>
      <c r="P387" s="1026"/>
      <c r="Q387" s="1026"/>
      <c r="R387" s="1026"/>
      <c r="S387" s="1026"/>
      <c r="T387" s="1026"/>
      <c r="U387" s="1026"/>
      <c r="V387" s="1026"/>
      <c r="W387" s="1026"/>
      <c r="X387" s="1026"/>
      <c r="Y387" s="1026"/>
      <c r="Z387" s="1026"/>
    </row>
    <row r="388" spans="1:26">
      <c r="A388" s="1026"/>
      <c r="B388" s="1026"/>
      <c r="C388" s="1026"/>
      <c r="D388" s="1026"/>
      <c r="E388" s="1026"/>
      <c r="F388" s="1026"/>
      <c r="G388" s="1026"/>
      <c r="H388" s="1026"/>
      <c r="I388" s="1026"/>
      <c r="J388" s="1026"/>
      <c r="K388" s="1026"/>
      <c r="L388" s="1026"/>
      <c r="M388" s="1026"/>
      <c r="N388" s="1026"/>
      <c r="O388" s="1026"/>
      <c r="P388" s="1026"/>
      <c r="Q388" s="1026"/>
      <c r="R388" s="1026"/>
      <c r="S388" s="1026"/>
      <c r="T388" s="1026"/>
      <c r="U388" s="1026"/>
      <c r="V388" s="1026"/>
      <c r="W388" s="1026"/>
      <c r="X388" s="1026"/>
      <c r="Y388" s="1026"/>
      <c r="Z388" s="1026"/>
    </row>
    <row r="389" spans="1:26">
      <c r="A389" s="1026"/>
      <c r="B389" s="1026"/>
      <c r="C389" s="1026"/>
      <c r="D389" s="1026"/>
      <c r="E389" s="1026"/>
      <c r="F389" s="1026"/>
      <c r="G389" s="1026"/>
      <c r="H389" s="1026"/>
      <c r="I389" s="1026"/>
      <c r="J389" s="1026"/>
      <c r="K389" s="1026"/>
      <c r="L389" s="1026"/>
      <c r="M389" s="1026"/>
      <c r="N389" s="1026"/>
      <c r="O389" s="1026"/>
      <c r="P389" s="1026"/>
      <c r="Q389" s="1026"/>
      <c r="R389" s="1026"/>
      <c r="S389" s="1026"/>
      <c r="T389" s="1026"/>
      <c r="U389" s="1026"/>
      <c r="V389" s="1026"/>
      <c r="W389" s="1026"/>
      <c r="X389" s="1026"/>
      <c r="Y389" s="1026"/>
      <c r="Z389" s="1026"/>
    </row>
    <row r="390" spans="1:26">
      <c r="A390" s="1026"/>
      <c r="B390" s="1026"/>
      <c r="C390" s="1026"/>
      <c r="D390" s="1026"/>
      <c r="E390" s="1026"/>
      <c r="F390" s="1026"/>
      <c r="G390" s="1026"/>
      <c r="H390" s="1026"/>
      <c r="I390" s="1026"/>
      <c r="J390" s="1026"/>
      <c r="K390" s="1026"/>
      <c r="L390" s="1026"/>
      <c r="M390" s="1026"/>
      <c r="N390" s="1026"/>
      <c r="O390" s="1026"/>
      <c r="P390" s="1026"/>
      <c r="Q390" s="1026"/>
      <c r="R390" s="1026"/>
      <c r="S390" s="1026"/>
      <c r="T390" s="1026"/>
      <c r="U390" s="1026"/>
      <c r="V390" s="1026"/>
      <c r="W390" s="1026"/>
      <c r="X390" s="1026"/>
      <c r="Y390" s="1026"/>
      <c r="Z390" s="1026"/>
    </row>
    <row r="391" spans="1:26">
      <c r="A391" s="1026"/>
      <c r="B391" s="1026"/>
      <c r="C391" s="1026"/>
      <c r="D391" s="1026"/>
      <c r="E391" s="1026"/>
      <c r="F391" s="1026"/>
      <c r="G391" s="1026"/>
      <c r="H391" s="1026"/>
      <c r="I391" s="1026"/>
      <c r="J391" s="1026"/>
      <c r="K391" s="1026"/>
      <c r="L391" s="1026"/>
      <c r="M391" s="1026"/>
      <c r="N391" s="1026"/>
      <c r="O391" s="1026"/>
      <c r="P391" s="1026"/>
      <c r="Q391" s="1026"/>
      <c r="R391" s="1026"/>
      <c r="S391" s="1026"/>
      <c r="T391" s="1026"/>
      <c r="U391" s="1026"/>
      <c r="V391" s="1026"/>
      <c r="W391" s="1026"/>
      <c r="X391" s="1026"/>
      <c r="Y391" s="1026"/>
      <c r="Z391" s="1026"/>
    </row>
    <row r="392" spans="1:26">
      <c r="A392" s="1026"/>
      <c r="B392" s="1026"/>
      <c r="C392" s="1026"/>
      <c r="D392" s="1026"/>
      <c r="E392" s="1026"/>
      <c r="F392" s="1026"/>
      <c r="G392" s="1026"/>
      <c r="H392" s="1026"/>
      <c r="I392" s="1026"/>
      <c r="J392" s="1026"/>
      <c r="K392" s="1026"/>
      <c r="L392" s="1026"/>
      <c r="M392" s="1026"/>
      <c r="N392" s="1026"/>
      <c r="O392" s="1026"/>
      <c r="P392" s="1026"/>
      <c r="Q392" s="1026"/>
      <c r="R392" s="1026"/>
      <c r="S392" s="1026"/>
      <c r="T392" s="1026"/>
      <c r="U392" s="1026"/>
      <c r="V392" s="1026"/>
      <c r="W392" s="1026"/>
      <c r="X392" s="1026"/>
      <c r="Y392" s="1026"/>
      <c r="Z392" s="1026"/>
    </row>
    <row r="393" spans="1:26">
      <c r="A393" s="1026"/>
      <c r="B393" s="1026"/>
      <c r="C393" s="1026"/>
      <c r="D393" s="1026"/>
      <c r="E393" s="1026"/>
      <c r="F393" s="1026"/>
      <c r="G393" s="1026"/>
      <c r="H393" s="1026"/>
      <c r="I393" s="1026"/>
      <c r="J393" s="1026"/>
      <c r="K393" s="1026"/>
      <c r="L393" s="1026"/>
      <c r="M393" s="1026"/>
      <c r="N393" s="1026"/>
      <c r="O393" s="1026"/>
      <c r="P393" s="1026"/>
      <c r="Q393" s="1026"/>
      <c r="R393" s="1026"/>
      <c r="S393" s="1026"/>
      <c r="T393" s="1026"/>
      <c r="U393" s="1026"/>
      <c r="V393" s="1026"/>
      <c r="W393" s="1026"/>
      <c r="X393" s="1026"/>
      <c r="Y393" s="1026"/>
      <c r="Z393" s="1026"/>
    </row>
    <row r="394" spans="1:26">
      <c r="A394" s="1026"/>
      <c r="B394" s="1026"/>
      <c r="C394" s="1026"/>
      <c r="D394" s="1026"/>
      <c r="E394" s="1026"/>
      <c r="F394" s="1026"/>
      <c r="G394" s="1026"/>
      <c r="H394" s="1026"/>
      <c r="I394" s="1026"/>
      <c r="J394" s="1026"/>
      <c r="K394" s="1026"/>
      <c r="L394" s="1026"/>
      <c r="M394" s="1026"/>
      <c r="N394" s="1026"/>
      <c r="O394" s="1026"/>
      <c r="P394" s="1026"/>
      <c r="Q394" s="1026"/>
      <c r="R394" s="1026"/>
      <c r="S394" s="1026"/>
      <c r="T394" s="1026"/>
      <c r="U394" s="1026"/>
      <c r="V394" s="1026"/>
      <c r="W394" s="1026"/>
      <c r="X394" s="1026"/>
      <c r="Y394" s="1026"/>
      <c r="Z394" s="1026"/>
    </row>
    <row r="395" spans="1:26">
      <c r="A395" s="1026"/>
      <c r="B395" s="1026"/>
      <c r="C395" s="1026"/>
      <c r="D395" s="1026"/>
      <c r="E395" s="1026"/>
      <c r="F395" s="1026"/>
      <c r="G395" s="1026"/>
      <c r="H395" s="1026"/>
      <c r="I395" s="1026"/>
      <c r="J395" s="1026"/>
      <c r="K395" s="1026"/>
      <c r="L395" s="1026"/>
      <c r="M395" s="1026"/>
      <c r="N395" s="1026"/>
      <c r="O395" s="1026"/>
      <c r="P395" s="1026"/>
      <c r="Q395" s="1026"/>
      <c r="R395" s="1026"/>
      <c r="S395" s="1026"/>
      <c r="T395" s="1026"/>
      <c r="U395" s="1026"/>
      <c r="V395" s="1026"/>
      <c r="W395" s="1026"/>
      <c r="X395" s="1026"/>
      <c r="Y395" s="1026"/>
      <c r="Z395" s="1026"/>
    </row>
    <row r="396" spans="1:26">
      <c r="A396" s="1026"/>
      <c r="B396" s="1026"/>
      <c r="C396" s="1026"/>
      <c r="D396" s="1026"/>
      <c r="E396" s="1026"/>
      <c r="F396" s="1026"/>
      <c r="G396" s="1026"/>
      <c r="H396" s="1026"/>
      <c r="I396" s="1026"/>
      <c r="J396" s="1026"/>
      <c r="K396" s="1026"/>
      <c r="L396" s="1026"/>
      <c r="M396" s="1026"/>
      <c r="N396" s="1026"/>
      <c r="O396" s="1026"/>
      <c r="P396" s="1026"/>
      <c r="Q396" s="1026"/>
      <c r="R396" s="1026"/>
      <c r="S396" s="1026"/>
      <c r="T396" s="1026"/>
      <c r="U396" s="1026"/>
      <c r="V396" s="1026"/>
      <c r="W396" s="1026"/>
      <c r="X396" s="1026"/>
      <c r="Y396" s="1026"/>
      <c r="Z396" s="1026"/>
    </row>
    <row r="397" spans="1:26">
      <c r="A397" s="1026"/>
      <c r="B397" s="1026"/>
      <c r="C397" s="1026"/>
      <c r="D397" s="1026"/>
      <c r="E397" s="1026"/>
      <c r="F397" s="1026"/>
      <c r="G397" s="1026"/>
      <c r="H397" s="1026"/>
      <c r="I397" s="1026"/>
      <c r="J397" s="1026"/>
      <c r="K397" s="1026"/>
      <c r="L397" s="1026"/>
      <c r="M397" s="1026"/>
      <c r="N397" s="1026"/>
      <c r="O397" s="1026"/>
      <c r="P397" s="1026"/>
      <c r="Q397" s="1026"/>
      <c r="R397" s="1026"/>
      <c r="S397" s="1026"/>
      <c r="T397" s="1026"/>
      <c r="U397" s="1026"/>
      <c r="V397" s="1026"/>
      <c r="W397" s="1026"/>
      <c r="X397" s="1026"/>
      <c r="Y397" s="1026"/>
      <c r="Z397" s="1026"/>
    </row>
    <row r="398" spans="1:26">
      <c r="A398" s="1026"/>
      <c r="B398" s="1026"/>
      <c r="C398" s="1026"/>
      <c r="D398" s="1026"/>
      <c r="E398" s="1026"/>
      <c r="F398" s="1026"/>
      <c r="G398" s="1026"/>
      <c r="H398" s="1026"/>
      <c r="I398" s="1026"/>
      <c r="J398" s="1026"/>
      <c r="K398" s="1026"/>
      <c r="L398" s="1026"/>
      <c r="M398" s="1026"/>
      <c r="N398" s="1026"/>
      <c r="O398" s="1026"/>
      <c r="P398" s="1026"/>
      <c r="Q398" s="1026"/>
      <c r="R398" s="1026"/>
      <c r="S398" s="1026"/>
      <c r="T398" s="1026"/>
      <c r="U398" s="1026"/>
      <c r="V398" s="1026"/>
      <c r="W398" s="1026"/>
      <c r="X398" s="1026"/>
      <c r="Y398" s="1026"/>
      <c r="Z398" s="1026"/>
    </row>
    <row r="399" spans="1:26">
      <c r="A399" s="1026"/>
      <c r="B399" s="1026"/>
      <c r="C399" s="1026"/>
      <c r="D399" s="1026"/>
      <c r="E399" s="1026"/>
      <c r="F399" s="1026"/>
      <c r="G399" s="1026"/>
      <c r="H399" s="1026"/>
      <c r="I399" s="1026"/>
      <c r="J399" s="1026"/>
      <c r="K399" s="1026"/>
      <c r="L399" s="1026"/>
      <c r="M399" s="1026"/>
      <c r="N399" s="1026"/>
      <c r="O399" s="1026"/>
      <c r="P399" s="1026"/>
      <c r="Q399" s="1026"/>
      <c r="R399" s="1026"/>
      <c r="S399" s="1026"/>
      <c r="T399" s="1026"/>
      <c r="U399" s="1026"/>
      <c r="V399" s="1026"/>
      <c r="W399" s="1026"/>
      <c r="X399" s="1026"/>
      <c r="Y399" s="1026"/>
      <c r="Z399" s="1026"/>
    </row>
    <row r="400" spans="1:26">
      <c r="A400" s="1026"/>
      <c r="B400" s="1026"/>
      <c r="C400" s="1026"/>
      <c r="D400" s="1026"/>
      <c r="E400" s="1026"/>
      <c r="F400" s="1026"/>
      <c r="G400" s="1026"/>
      <c r="H400" s="1026"/>
      <c r="I400" s="1026"/>
      <c r="J400" s="1026"/>
      <c r="K400" s="1026"/>
      <c r="L400" s="1026"/>
      <c r="M400" s="1026"/>
      <c r="N400" s="1026"/>
      <c r="O400" s="1026"/>
      <c r="P400" s="1026"/>
      <c r="Q400" s="1026"/>
      <c r="R400" s="1026"/>
      <c r="S400" s="1026"/>
      <c r="T400" s="1026"/>
      <c r="U400" s="1026"/>
      <c r="V400" s="1026"/>
      <c r="W400" s="1026"/>
      <c r="X400" s="1026"/>
      <c r="Y400" s="1026"/>
      <c r="Z400" s="1026"/>
    </row>
    <row r="401" spans="1:26">
      <c r="A401" s="1026"/>
      <c r="B401" s="1026"/>
      <c r="C401" s="1026"/>
      <c r="D401" s="1026"/>
      <c r="E401" s="1026"/>
      <c r="F401" s="1026"/>
      <c r="G401" s="1026"/>
      <c r="H401" s="1026"/>
      <c r="I401" s="1026"/>
      <c r="J401" s="1026"/>
      <c r="K401" s="1026"/>
      <c r="L401" s="1026"/>
      <c r="M401" s="1026"/>
      <c r="N401" s="1026"/>
      <c r="O401" s="1026"/>
      <c r="P401" s="1026"/>
      <c r="Q401" s="1026"/>
      <c r="R401" s="1026"/>
      <c r="S401" s="1026"/>
      <c r="T401" s="1026"/>
      <c r="U401" s="1026"/>
      <c r="V401" s="1026"/>
      <c r="W401" s="1026"/>
      <c r="X401" s="1026"/>
      <c r="Y401" s="1026"/>
      <c r="Z401" s="1026"/>
    </row>
    <row r="402" spans="1:26">
      <c r="A402" s="1026"/>
      <c r="B402" s="1026"/>
      <c r="C402" s="1026"/>
      <c r="D402" s="1026"/>
      <c r="E402" s="1026"/>
      <c r="F402" s="1026"/>
      <c r="G402" s="1026"/>
      <c r="H402" s="1026"/>
      <c r="I402" s="1026"/>
      <c r="J402" s="1026"/>
      <c r="K402" s="1026"/>
      <c r="L402" s="1026"/>
      <c r="M402" s="1026"/>
      <c r="N402" s="1026"/>
      <c r="O402" s="1026"/>
      <c r="P402" s="1026"/>
      <c r="Q402" s="1026"/>
      <c r="R402" s="1026"/>
      <c r="S402" s="1026"/>
      <c r="T402" s="1026"/>
      <c r="U402" s="1026"/>
      <c r="V402" s="1026"/>
      <c r="W402" s="1026"/>
      <c r="X402" s="1026"/>
      <c r="Y402" s="1026"/>
      <c r="Z402" s="1026"/>
    </row>
    <row r="403" spans="1:26">
      <c r="A403" s="1026"/>
      <c r="B403" s="1026"/>
      <c r="C403" s="1026"/>
      <c r="D403" s="1026"/>
      <c r="E403" s="1026"/>
      <c r="F403" s="1026"/>
      <c r="G403" s="1026"/>
      <c r="H403" s="1026"/>
      <c r="I403" s="1026"/>
      <c r="J403" s="1026"/>
      <c r="K403" s="1026"/>
      <c r="L403" s="1026"/>
      <c r="M403" s="1026"/>
      <c r="N403" s="1026"/>
      <c r="O403" s="1026"/>
      <c r="P403" s="1026"/>
      <c r="Q403" s="1026"/>
      <c r="R403" s="1026"/>
      <c r="S403" s="1026"/>
      <c r="T403" s="1026"/>
      <c r="U403" s="1026"/>
      <c r="V403" s="1026"/>
      <c r="W403" s="1026"/>
      <c r="X403" s="1026"/>
      <c r="Y403" s="1026"/>
      <c r="Z403" s="1026"/>
    </row>
    <row r="404" spans="1:26">
      <c r="A404" s="1026"/>
      <c r="B404" s="1026"/>
      <c r="C404" s="1026"/>
      <c r="D404" s="1026"/>
      <c r="E404" s="1026"/>
      <c r="F404" s="1026"/>
      <c r="G404" s="1026"/>
      <c r="H404" s="1026"/>
      <c r="I404" s="1026"/>
      <c r="J404" s="1026"/>
      <c r="K404" s="1026"/>
      <c r="L404" s="1026"/>
      <c r="M404" s="1026"/>
      <c r="N404" s="1026"/>
      <c r="O404" s="1026"/>
      <c r="P404" s="1026"/>
      <c r="Q404" s="1026"/>
      <c r="R404" s="1026"/>
      <c r="S404" s="1026"/>
      <c r="T404" s="1026"/>
      <c r="U404" s="1026"/>
      <c r="V404" s="1026"/>
      <c r="W404" s="1026"/>
      <c r="X404" s="1026"/>
      <c r="Y404" s="1026"/>
      <c r="Z404" s="1026"/>
    </row>
    <row r="405" spans="1:26">
      <c r="A405" s="1026"/>
      <c r="B405" s="1026"/>
      <c r="C405" s="1026"/>
      <c r="D405" s="1026"/>
      <c r="E405" s="1026"/>
      <c r="F405" s="1026"/>
      <c r="G405" s="1026"/>
      <c r="H405" s="1026"/>
      <c r="I405" s="1026"/>
      <c r="J405" s="1026"/>
      <c r="K405" s="1026"/>
      <c r="L405" s="1026"/>
      <c r="M405" s="1026"/>
      <c r="N405" s="1026"/>
      <c r="O405" s="1026"/>
      <c r="P405" s="1026"/>
      <c r="Q405" s="1026"/>
      <c r="R405" s="1026"/>
      <c r="S405" s="1026"/>
      <c r="T405" s="1026"/>
      <c r="U405" s="1026"/>
      <c r="V405" s="1026"/>
      <c r="W405" s="1026"/>
      <c r="X405" s="1026"/>
      <c r="Y405" s="1026"/>
      <c r="Z405" s="1026"/>
    </row>
    <row r="406" spans="1:26">
      <c r="A406" s="1026"/>
      <c r="B406" s="1026"/>
      <c r="C406" s="1026"/>
      <c r="D406" s="1026"/>
      <c r="E406" s="1026"/>
      <c r="F406" s="1026"/>
      <c r="G406" s="1026"/>
      <c r="H406" s="1026"/>
      <c r="I406" s="1026"/>
      <c r="J406" s="1026"/>
      <c r="K406" s="1026"/>
      <c r="L406" s="1026"/>
      <c r="M406" s="1026"/>
      <c r="N406" s="1026"/>
      <c r="O406" s="1026"/>
      <c r="P406" s="1026"/>
      <c r="Q406" s="1026"/>
      <c r="R406" s="1026"/>
      <c r="S406" s="1026"/>
      <c r="T406" s="1026"/>
      <c r="U406" s="1026"/>
      <c r="V406" s="1026"/>
      <c r="W406" s="1026"/>
      <c r="X406" s="1026"/>
      <c r="Y406" s="1026"/>
      <c r="Z406" s="1026"/>
    </row>
    <row r="407" spans="1:26">
      <c r="A407" s="1026"/>
      <c r="B407" s="1026"/>
      <c r="C407" s="1026"/>
      <c r="D407" s="1026"/>
      <c r="E407" s="1026"/>
      <c r="F407" s="1026"/>
      <c r="G407" s="1026"/>
      <c r="H407" s="1026"/>
      <c r="I407" s="1026"/>
      <c r="J407" s="1026"/>
      <c r="K407" s="1026"/>
      <c r="L407" s="1026"/>
      <c r="M407" s="1026"/>
      <c r="N407" s="1026"/>
      <c r="O407" s="1026"/>
      <c r="P407" s="1026"/>
      <c r="Q407" s="1026"/>
      <c r="R407" s="1026"/>
      <c r="S407" s="1026"/>
      <c r="T407" s="1026"/>
      <c r="U407" s="1026"/>
      <c r="V407" s="1026"/>
      <c r="W407" s="1026"/>
      <c r="X407" s="1026"/>
      <c r="Y407" s="1026"/>
      <c r="Z407" s="1026"/>
    </row>
    <row r="408" spans="1:26">
      <c r="A408" s="1026"/>
      <c r="B408" s="1026"/>
      <c r="C408" s="1026"/>
      <c r="D408" s="1026"/>
      <c r="E408" s="1026"/>
      <c r="F408" s="1026"/>
      <c r="G408" s="1026"/>
      <c r="H408" s="1026"/>
      <c r="I408" s="1026"/>
      <c r="J408" s="1026"/>
      <c r="K408" s="1026"/>
      <c r="L408" s="1026"/>
      <c r="M408" s="1026"/>
      <c r="N408" s="1026"/>
      <c r="O408" s="1026"/>
      <c r="P408" s="1026"/>
      <c r="Q408" s="1026"/>
      <c r="R408" s="1026"/>
      <c r="S408" s="1026"/>
      <c r="T408" s="1026"/>
      <c r="U408" s="1026"/>
      <c r="V408" s="1026"/>
      <c r="W408" s="1026"/>
      <c r="X408" s="1026"/>
      <c r="Y408" s="1026"/>
      <c r="Z408" s="1026"/>
    </row>
    <row r="409" spans="1:26">
      <c r="A409" s="1026"/>
      <c r="B409" s="1026"/>
      <c r="C409" s="1026"/>
      <c r="D409" s="1026"/>
      <c r="E409" s="1026"/>
      <c r="F409" s="1026"/>
      <c r="G409" s="1026"/>
      <c r="H409" s="1026"/>
      <c r="I409" s="1026"/>
      <c r="J409" s="1026"/>
      <c r="K409" s="1026"/>
      <c r="L409" s="1026"/>
      <c r="M409" s="1026"/>
      <c r="N409" s="1026"/>
      <c r="O409" s="1026"/>
      <c r="P409" s="1026"/>
      <c r="Q409" s="1026"/>
      <c r="R409" s="1026"/>
      <c r="S409" s="1026"/>
      <c r="T409" s="1026"/>
      <c r="U409" s="1026"/>
      <c r="V409" s="1026"/>
      <c r="W409" s="1026"/>
      <c r="X409" s="1026"/>
      <c r="Y409" s="1026"/>
      <c r="Z409" s="1026"/>
    </row>
    <row r="410" spans="1:26">
      <c r="A410" s="1026"/>
      <c r="B410" s="1026"/>
      <c r="C410" s="1026"/>
      <c r="D410" s="1026"/>
      <c r="E410" s="1026"/>
      <c r="F410" s="1026"/>
      <c r="G410" s="1026"/>
      <c r="H410" s="1026"/>
      <c r="I410" s="1026"/>
      <c r="J410" s="1026"/>
      <c r="K410" s="1026"/>
      <c r="L410" s="1026"/>
      <c r="M410" s="1026"/>
      <c r="N410" s="1026"/>
      <c r="O410" s="1026"/>
      <c r="P410" s="1026"/>
      <c r="Q410" s="1026"/>
      <c r="R410" s="1026"/>
      <c r="S410" s="1026"/>
      <c r="T410" s="1026"/>
      <c r="U410" s="1026"/>
      <c r="V410" s="1026"/>
      <c r="W410" s="1026"/>
      <c r="X410" s="1026"/>
      <c r="Y410" s="1026"/>
      <c r="Z410" s="1026"/>
    </row>
    <row r="411" spans="1:26">
      <c r="A411" s="1026"/>
      <c r="B411" s="1026"/>
      <c r="C411" s="1026"/>
      <c r="D411" s="1026"/>
      <c r="E411" s="1026"/>
      <c r="F411" s="1026"/>
      <c r="G411" s="1026"/>
      <c r="H411" s="1026"/>
      <c r="I411" s="1026"/>
      <c r="J411" s="1026"/>
      <c r="K411" s="1026"/>
      <c r="L411" s="1026"/>
      <c r="M411" s="1026"/>
      <c r="N411" s="1026"/>
      <c r="O411" s="1026"/>
      <c r="P411" s="1026"/>
      <c r="Q411" s="1026"/>
      <c r="R411" s="1026"/>
      <c r="S411" s="1026"/>
      <c r="T411" s="1026"/>
      <c r="U411" s="1026"/>
      <c r="V411" s="1026"/>
      <c r="W411" s="1026"/>
      <c r="X411" s="1026"/>
      <c r="Y411" s="1026"/>
      <c r="Z411" s="1026"/>
    </row>
    <row r="412" spans="1:26">
      <c r="A412" s="1026"/>
      <c r="B412" s="1026"/>
      <c r="C412" s="1026"/>
      <c r="D412" s="1026"/>
      <c r="E412" s="1026"/>
      <c r="F412" s="1026"/>
      <c r="G412" s="1026"/>
      <c r="H412" s="1026"/>
      <c r="I412" s="1026"/>
      <c r="J412" s="1026"/>
      <c r="K412" s="1026"/>
      <c r="L412" s="1026"/>
      <c r="M412" s="1026"/>
      <c r="N412" s="1026"/>
      <c r="O412" s="1026"/>
      <c r="P412" s="1026"/>
      <c r="Q412" s="1026"/>
      <c r="R412" s="1026"/>
      <c r="S412" s="1026"/>
      <c r="T412" s="1026"/>
      <c r="U412" s="1026"/>
      <c r="V412" s="1026"/>
      <c r="W412" s="1026"/>
      <c r="X412" s="1026"/>
      <c r="Y412" s="1026"/>
      <c r="Z412" s="1026"/>
    </row>
    <row r="413" spans="1:26">
      <c r="A413" s="1026"/>
      <c r="B413" s="1026"/>
      <c r="C413" s="1026"/>
      <c r="D413" s="1026"/>
      <c r="E413" s="1026"/>
      <c r="F413" s="1026"/>
      <c r="G413" s="1026"/>
      <c r="H413" s="1026"/>
      <c r="I413" s="1026"/>
      <c r="J413" s="1026"/>
      <c r="K413" s="1026"/>
      <c r="L413" s="1026"/>
      <c r="M413" s="1026"/>
      <c r="N413" s="1026"/>
      <c r="O413" s="1026"/>
      <c r="P413" s="1026"/>
      <c r="Q413" s="1026"/>
      <c r="R413" s="1026"/>
      <c r="S413" s="1026"/>
      <c r="T413" s="1026"/>
      <c r="U413" s="1026"/>
      <c r="V413" s="1026"/>
      <c r="W413" s="1026"/>
      <c r="X413" s="1026"/>
      <c r="Y413" s="1026"/>
      <c r="Z413" s="1026"/>
    </row>
    <row r="414" spans="1:26">
      <c r="A414" s="1026"/>
      <c r="B414" s="1026"/>
      <c r="C414" s="1026"/>
      <c r="D414" s="1026"/>
      <c r="E414" s="1026"/>
      <c r="F414" s="1026"/>
      <c r="G414" s="1026"/>
      <c r="H414" s="1026"/>
      <c r="I414" s="1026"/>
      <c r="J414" s="1026"/>
      <c r="K414" s="1026"/>
      <c r="L414" s="1026"/>
      <c r="M414" s="1026"/>
      <c r="N414" s="1026"/>
      <c r="O414" s="1026"/>
      <c r="P414" s="1026"/>
      <c r="Q414" s="1026"/>
      <c r="R414" s="1026"/>
      <c r="S414" s="1026"/>
      <c r="T414" s="1026"/>
      <c r="U414" s="1026"/>
      <c r="V414" s="1026"/>
      <c r="W414" s="1026"/>
      <c r="X414" s="1026"/>
      <c r="Y414" s="1026"/>
      <c r="Z414" s="1026"/>
    </row>
    <row r="415" spans="1:26">
      <c r="A415" s="1026"/>
      <c r="B415" s="1026"/>
      <c r="C415" s="1026"/>
      <c r="D415" s="1026"/>
      <c r="E415" s="1026"/>
      <c r="F415" s="1026"/>
      <c r="G415" s="1026"/>
      <c r="H415" s="1026"/>
      <c r="I415" s="1026"/>
      <c r="J415" s="1026"/>
      <c r="K415" s="1026"/>
      <c r="L415" s="1026"/>
      <c r="M415" s="1026"/>
      <c r="N415" s="1026"/>
      <c r="O415" s="1026"/>
      <c r="P415" s="1026"/>
      <c r="Q415" s="1026"/>
      <c r="R415" s="1026"/>
      <c r="S415" s="1026"/>
      <c r="T415" s="1026"/>
      <c r="U415" s="1026"/>
      <c r="V415" s="1026"/>
      <c r="W415" s="1026"/>
      <c r="X415" s="1026"/>
      <c r="Y415" s="1026"/>
      <c r="Z415" s="1026"/>
    </row>
    <row r="416" spans="1:26">
      <c r="A416" s="1026"/>
      <c r="B416" s="1026"/>
      <c r="C416" s="1026"/>
      <c r="D416" s="1026"/>
      <c r="E416" s="1026"/>
      <c r="F416" s="1026"/>
      <c r="G416" s="1026"/>
      <c r="H416" s="1026"/>
      <c r="I416" s="1026"/>
      <c r="J416" s="1026"/>
      <c r="K416" s="1026"/>
      <c r="L416" s="1026"/>
      <c r="M416" s="1026"/>
      <c r="N416" s="1026"/>
      <c r="O416" s="1026"/>
      <c r="P416" s="1026"/>
      <c r="Q416" s="1026"/>
      <c r="R416" s="1026"/>
      <c r="S416" s="1026"/>
      <c r="T416" s="1026"/>
      <c r="U416" s="1026"/>
      <c r="V416" s="1026"/>
      <c r="W416" s="1026"/>
      <c r="X416" s="1026"/>
      <c r="Y416" s="1026"/>
      <c r="Z416" s="1026"/>
    </row>
    <row r="417" spans="1:26">
      <c r="A417" s="1026"/>
      <c r="B417" s="1026"/>
      <c r="C417" s="1026"/>
      <c r="D417" s="1026"/>
      <c r="E417" s="1026"/>
      <c r="F417" s="1026"/>
      <c r="G417" s="1026"/>
      <c r="H417" s="1026"/>
      <c r="I417" s="1026"/>
      <c r="J417" s="1026"/>
      <c r="K417" s="1026"/>
      <c r="L417" s="1026"/>
      <c r="M417" s="1026"/>
      <c r="N417" s="1026"/>
      <c r="O417" s="1026"/>
      <c r="P417" s="1026"/>
      <c r="Q417" s="1026"/>
      <c r="R417" s="1026"/>
      <c r="S417" s="1026"/>
      <c r="T417" s="1026"/>
      <c r="U417" s="1026"/>
      <c r="V417" s="1026"/>
      <c r="W417" s="1026"/>
      <c r="X417" s="1026"/>
      <c r="Y417" s="1026"/>
      <c r="Z417" s="1026"/>
    </row>
    <row r="418" spans="1:26">
      <c r="A418" s="1026"/>
      <c r="B418" s="1026"/>
      <c r="C418" s="1026"/>
      <c r="D418" s="1026"/>
      <c r="E418" s="1026"/>
      <c r="F418" s="1026"/>
      <c r="G418" s="1026"/>
      <c r="H418" s="1026"/>
      <c r="I418" s="1026"/>
      <c r="J418" s="1026"/>
      <c r="K418" s="1026"/>
      <c r="L418" s="1026"/>
      <c r="M418" s="1026"/>
      <c r="N418" s="1026"/>
      <c r="O418" s="1026"/>
      <c r="P418" s="1026"/>
      <c r="Q418" s="1026"/>
      <c r="R418" s="1026"/>
      <c r="S418" s="1026"/>
      <c r="T418" s="1026"/>
      <c r="U418" s="1026"/>
      <c r="V418" s="1026"/>
      <c r="W418" s="1026"/>
      <c r="X418" s="1026"/>
      <c r="Y418" s="1026"/>
      <c r="Z418" s="1026"/>
    </row>
    <row r="419" spans="1:26">
      <c r="A419" s="1026"/>
      <c r="B419" s="1026"/>
      <c r="C419" s="1026"/>
      <c r="D419" s="1026"/>
      <c r="E419" s="1026"/>
      <c r="F419" s="1026"/>
      <c r="G419" s="1026"/>
      <c r="H419" s="1026"/>
      <c r="I419" s="1026"/>
      <c r="J419" s="1026"/>
      <c r="K419" s="1026"/>
      <c r="L419" s="1026"/>
      <c r="M419" s="1026"/>
      <c r="N419" s="1026"/>
      <c r="O419" s="1026"/>
      <c r="P419" s="1026"/>
      <c r="Q419" s="1026"/>
      <c r="R419" s="1026"/>
      <c r="S419" s="1026"/>
      <c r="T419" s="1026"/>
      <c r="U419" s="1026"/>
      <c r="V419" s="1026"/>
      <c r="W419" s="1026"/>
      <c r="X419" s="1026"/>
      <c r="Y419" s="1026"/>
      <c r="Z419" s="1026"/>
    </row>
    <row r="420" spans="1:26">
      <c r="A420" s="1026"/>
      <c r="B420" s="1026"/>
      <c r="C420" s="1026"/>
      <c r="D420" s="1026"/>
      <c r="E420" s="1026"/>
      <c r="F420" s="1026"/>
      <c r="G420" s="1026"/>
      <c r="H420" s="1026"/>
      <c r="I420" s="1026"/>
      <c r="J420" s="1026"/>
      <c r="K420" s="1026"/>
      <c r="L420" s="1026"/>
      <c r="M420" s="1026"/>
      <c r="N420" s="1026"/>
      <c r="O420" s="1026"/>
      <c r="P420" s="1026"/>
      <c r="Q420" s="1026"/>
      <c r="R420" s="1026"/>
      <c r="S420" s="1026"/>
      <c r="T420" s="1026"/>
      <c r="U420" s="1026"/>
      <c r="V420" s="1026"/>
      <c r="W420" s="1026"/>
      <c r="X420" s="1026"/>
      <c r="Y420" s="1026"/>
      <c r="Z420" s="1026"/>
    </row>
    <row r="421" spans="1:26">
      <c r="A421" s="1026"/>
      <c r="B421" s="1026"/>
      <c r="C421" s="1026"/>
      <c r="D421" s="1026"/>
      <c r="E421" s="1026"/>
      <c r="F421" s="1026"/>
      <c r="G421" s="1026"/>
      <c r="H421" s="1026"/>
      <c r="I421" s="1026"/>
      <c r="J421" s="1026"/>
      <c r="K421" s="1026"/>
      <c r="L421" s="1026"/>
      <c r="M421" s="1026"/>
      <c r="N421" s="1026"/>
      <c r="O421" s="1026"/>
      <c r="P421" s="1026"/>
      <c r="Q421" s="1026"/>
      <c r="R421" s="1026"/>
      <c r="S421" s="1026"/>
      <c r="T421" s="1026"/>
      <c r="U421" s="1026"/>
      <c r="V421" s="1026"/>
      <c r="W421" s="1026"/>
      <c r="X421" s="1026"/>
      <c r="Y421" s="1026"/>
      <c r="Z421" s="1026"/>
    </row>
    <row r="422" spans="1:26">
      <c r="A422" s="1026"/>
      <c r="B422" s="1026"/>
      <c r="C422" s="1026"/>
      <c r="D422" s="1026"/>
      <c r="E422" s="1026"/>
      <c r="F422" s="1026"/>
      <c r="G422" s="1026"/>
      <c r="H422" s="1026"/>
      <c r="I422" s="1026"/>
      <c r="J422" s="1026"/>
      <c r="K422" s="1026"/>
      <c r="L422" s="1026"/>
      <c r="M422" s="1026"/>
      <c r="N422" s="1026"/>
      <c r="O422" s="1026"/>
      <c r="P422" s="1026"/>
      <c r="Q422" s="1026"/>
      <c r="R422" s="1026"/>
      <c r="S422" s="1026"/>
      <c r="T422" s="1026"/>
      <c r="U422" s="1026"/>
      <c r="V422" s="1026"/>
      <c r="W422" s="1026"/>
      <c r="X422" s="1026"/>
      <c r="Y422" s="1026"/>
      <c r="Z422" s="1026"/>
    </row>
    <row r="423" spans="1:26">
      <c r="A423" s="1026"/>
      <c r="B423" s="1026"/>
      <c r="C423" s="1026"/>
      <c r="D423" s="1026"/>
      <c r="E423" s="1026"/>
      <c r="F423" s="1026"/>
      <c r="G423" s="1026"/>
      <c r="H423" s="1026"/>
      <c r="I423" s="1026"/>
      <c r="J423" s="1026"/>
      <c r="K423" s="1026"/>
      <c r="L423" s="1026"/>
      <c r="M423" s="1026"/>
      <c r="N423" s="1026"/>
      <c r="O423" s="1026"/>
      <c r="P423" s="1026"/>
      <c r="Q423" s="1026"/>
      <c r="R423" s="1026"/>
      <c r="S423" s="1026"/>
      <c r="T423" s="1026"/>
      <c r="U423" s="1026"/>
      <c r="V423" s="1026"/>
      <c r="W423" s="1026"/>
      <c r="X423" s="1026"/>
      <c r="Y423" s="1026"/>
      <c r="Z423" s="1026"/>
    </row>
    <row r="424" spans="1:26">
      <c r="A424" s="1026"/>
      <c r="B424" s="1026"/>
      <c r="C424" s="1026"/>
      <c r="D424" s="1026"/>
      <c r="E424" s="1026"/>
      <c r="F424" s="1026"/>
      <c r="G424" s="1026"/>
      <c r="H424" s="1026"/>
      <c r="I424" s="1026"/>
      <c r="J424" s="1026"/>
      <c r="K424" s="1026"/>
      <c r="L424" s="1026"/>
      <c r="M424" s="1026"/>
      <c r="N424" s="1026"/>
      <c r="O424" s="1026"/>
      <c r="P424" s="1026"/>
      <c r="Q424" s="1026"/>
      <c r="R424" s="1026"/>
      <c r="S424" s="1026"/>
      <c r="T424" s="1026"/>
      <c r="U424" s="1026"/>
      <c r="V424" s="1026"/>
      <c r="W424" s="1026"/>
      <c r="X424" s="1026"/>
      <c r="Y424" s="1026"/>
      <c r="Z424" s="1026"/>
    </row>
    <row r="425" spans="1:26">
      <c r="A425" s="1026"/>
      <c r="B425" s="1026"/>
      <c r="C425" s="1026"/>
      <c r="D425" s="1026"/>
      <c r="E425" s="1026"/>
      <c r="F425" s="1026"/>
      <c r="G425" s="1026"/>
      <c r="H425" s="1026"/>
      <c r="I425" s="1026"/>
      <c r="J425" s="1026"/>
      <c r="K425" s="1026"/>
      <c r="L425" s="1026"/>
      <c r="M425" s="1026"/>
      <c r="N425" s="1026"/>
      <c r="O425" s="1026"/>
      <c r="P425" s="1026"/>
      <c r="Q425" s="1026"/>
      <c r="R425" s="1026"/>
      <c r="S425" s="1026"/>
      <c r="T425" s="1026"/>
      <c r="U425" s="1026"/>
      <c r="V425" s="1026"/>
      <c r="W425" s="1026"/>
      <c r="X425" s="1026"/>
      <c r="Y425" s="1026"/>
      <c r="Z425" s="1026"/>
    </row>
    <row r="426" spans="1:26">
      <c r="A426" s="1026"/>
      <c r="B426" s="1026"/>
      <c r="C426" s="1026"/>
      <c r="D426" s="1026"/>
      <c r="E426" s="1026"/>
      <c r="F426" s="1026"/>
      <c r="G426" s="1026"/>
      <c r="H426" s="1026"/>
      <c r="I426" s="1026"/>
      <c r="J426" s="1026"/>
      <c r="K426" s="1026"/>
      <c r="L426" s="1026"/>
      <c r="M426" s="1026"/>
      <c r="N426" s="1026"/>
      <c r="O426" s="1026"/>
      <c r="P426" s="1026"/>
      <c r="Q426" s="1026"/>
      <c r="R426" s="1026"/>
      <c r="S426" s="1026"/>
      <c r="T426" s="1026"/>
      <c r="U426" s="1026"/>
      <c r="V426" s="1026"/>
      <c r="W426" s="1026"/>
      <c r="X426" s="1026"/>
      <c r="Y426" s="1026"/>
      <c r="Z426" s="1026"/>
    </row>
    <row r="427" spans="1:26">
      <c r="A427" s="1026"/>
      <c r="B427" s="1026"/>
      <c r="C427" s="1026"/>
      <c r="D427" s="1026"/>
      <c r="E427" s="1026"/>
      <c r="F427" s="1026"/>
      <c r="G427" s="1026"/>
      <c r="H427" s="1026"/>
      <c r="I427" s="1026"/>
      <c r="J427" s="1026"/>
      <c r="K427" s="1026"/>
      <c r="L427" s="1026"/>
      <c r="M427" s="1026"/>
      <c r="N427" s="1026"/>
      <c r="O427" s="1026"/>
      <c r="P427" s="1026"/>
      <c r="Q427" s="1026"/>
      <c r="R427" s="1026"/>
      <c r="S427" s="1026"/>
      <c r="T427" s="1026"/>
      <c r="U427" s="1026"/>
      <c r="V427" s="1026"/>
      <c r="W427" s="1026"/>
      <c r="X427" s="1026"/>
      <c r="Y427" s="1026"/>
      <c r="Z427" s="1026"/>
    </row>
    <row r="428" spans="1:26">
      <c r="A428" s="1026"/>
      <c r="B428" s="1026"/>
      <c r="C428" s="1026"/>
      <c r="D428" s="1026"/>
      <c r="E428" s="1026"/>
      <c r="F428" s="1026"/>
      <c r="G428" s="1026"/>
      <c r="H428" s="1026"/>
      <c r="I428" s="1026"/>
      <c r="J428" s="1026"/>
      <c r="K428" s="1026"/>
      <c r="L428" s="1026"/>
      <c r="M428" s="1026"/>
      <c r="N428" s="1026"/>
      <c r="O428" s="1026"/>
      <c r="P428" s="1026"/>
      <c r="Q428" s="1026"/>
      <c r="R428" s="1026"/>
      <c r="S428" s="1026"/>
      <c r="T428" s="1026"/>
      <c r="U428" s="1026"/>
      <c r="V428" s="1026"/>
      <c r="W428" s="1026"/>
      <c r="X428" s="1026"/>
      <c r="Y428" s="1026"/>
      <c r="Z428" s="1026"/>
    </row>
    <row r="429" spans="1:26">
      <c r="A429" s="1026"/>
      <c r="B429" s="1026"/>
      <c r="C429" s="1026"/>
      <c r="D429" s="1026"/>
      <c r="E429" s="1026"/>
      <c r="F429" s="1026"/>
      <c r="G429" s="1026"/>
      <c r="H429" s="1026"/>
      <c r="I429" s="1026"/>
      <c r="J429" s="1026"/>
      <c r="K429" s="1026"/>
      <c r="L429" s="1026"/>
      <c r="M429" s="1026"/>
      <c r="N429" s="1026"/>
      <c r="O429" s="1026"/>
      <c r="P429" s="1026"/>
      <c r="Q429" s="1026"/>
      <c r="R429" s="1026"/>
      <c r="S429" s="1026"/>
      <c r="T429" s="1026"/>
      <c r="U429" s="1026"/>
      <c r="V429" s="1026"/>
      <c r="W429" s="1026"/>
      <c r="X429" s="1026"/>
      <c r="Y429" s="1026"/>
      <c r="Z429" s="1026"/>
    </row>
    <row r="430" spans="1:26">
      <c r="A430" s="1026"/>
      <c r="B430" s="1026"/>
      <c r="C430" s="1026"/>
      <c r="D430" s="1026"/>
      <c r="E430" s="1026"/>
      <c r="F430" s="1026"/>
      <c r="G430" s="1026"/>
      <c r="H430" s="1026"/>
      <c r="I430" s="1026"/>
      <c r="J430" s="1026"/>
      <c r="K430" s="1026"/>
      <c r="L430" s="1026"/>
      <c r="M430" s="1026"/>
      <c r="N430" s="1026"/>
      <c r="O430" s="1026"/>
      <c r="P430" s="1026"/>
      <c r="Q430" s="1026"/>
      <c r="R430" s="1026"/>
      <c r="S430" s="1026"/>
      <c r="T430" s="1026"/>
      <c r="U430" s="1026"/>
      <c r="V430" s="1026"/>
      <c r="W430" s="1026"/>
      <c r="X430" s="1026"/>
      <c r="Y430" s="1026"/>
      <c r="Z430" s="1026"/>
    </row>
    <row r="431" spans="1:26">
      <c r="A431" s="1026"/>
      <c r="B431" s="1026"/>
      <c r="C431" s="1026"/>
      <c r="D431" s="1026"/>
      <c r="E431" s="1026"/>
      <c r="F431" s="1026"/>
      <c r="G431" s="1026"/>
      <c r="H431" s="1026"/>
      <c r="I431" s="1026"/>
      <c r="J431" s="1026"/>
      <c r="K431" s="1026"/>
      <c r="L431" s="1026"/>
      <c r="M431" s="1026"/>
      <c r="N431" s="1026"/>
      <c r="O431" s="1026"/>
      <c r="P431" s="1026"/>
      <c r="Q431" s="1026"/>
      <c r="R431" s="1026"/>
      <c r="S431" s="1026"/>
      <c r="T431" s="1026"/>
      <c r="U431" s="1026"/>
      <c r="V431" s="1026"/>
      <c r="W431" s="1026"/>
      <c r="X431" s="1026"/>
      <c r="Y431" s="1026"/>
      <c r="Z431" s="1026"/>
    </row>
    <row r="432" spans="1:26">
      <c r="A432" s="1026"/>
      <c r="B432" s="1026"/>
      <c r="C432" s="1026"/>
      <c r="D432" s="1026"/>
      <c r="E432" s="1026"/>
      <c r="F432" s="1026"/>
      <c r="G432" s="1026"/>
      <c r="H432" s="1026"/>
      <c r="I432" s="1026"/>
      <c r="J432" s="1026"/>
      <c r="K432" s="1026"/>
      <c r="L432" s="1026"/>
      <c r="M432" s="1026"/>
      <c r="N432" s="1026"/>
      <c r="O432" s="1026"/>
      <c r="P432" s="1026"/>
      <c r="Q432" s="1026"/>
      <c r="R432" s="1026"/>
      <c r="S432" s="1026"/>
      <c r="T432" s="1026"/>
      <c r="U432" s="1026"/>
      <c r="V432" s="1026"/>
      <c r="W432" s="1026"/>
      <c r="X432" s="1026"/>
      <c r="Y432" s="1026"/>
      <c r="Z432" s="1026"/>
    </row>
    <row r="433" spans="1:26">
      <c r="A433" s="1026"/>
      <c r="B433" s="1026"/>
      <c r="C433" s="1026"/>
      <c r="D433" s="1026"/>
      <c r="E433" s="1026"/>
      <c r="F433" s="1026"/>
      <c r="G433" s="1026"/>
      <c r="H433" s="1026"/>
      <c r="I433" s="1026"/>
      <c r="J433" s="1026"/>
      <c r="K433" s="1026"/>
      <c r="L433" s="1026"/>
      <c r="M433" s="1026"/>
      <c r="N433" s="1026"/>
      <c r="O433" s="1026"/>
      <c r="P433" s="1026"/>
      <c r="Q433" s="1026"/>
      <c r="R433" s="1026"/>
      <c r="S433" s="1026"/>
      <c r="T433" s="1026"/>
      <c r="U433" s="1026"/>
      <c r="V433" s="1026"/>
      <c r="W433" s="1026"/>
      <c r="X433" s="1026"/>
      <c r="Y433" s="1026"/>
      <c r="Z433" s="1026"/>
    </row>
    <row r="434" spans="1:26">
      <c r="A434" s="1026"/>
      <c r="B434" s="1026"/>
      <c r="C434" s="1026"/>
      <c r="D434" s="1026"/>
      <c r="E434" s="1026"/>
      <c r="F434" s="1026"/>
      <c r="G434" s="1026"/>
      <c r="H434" s="1026"/>
      <c r="I434" s="1026"/>
      <c r="J434" s="1026"/>
      <c r="K434" s="1026"/>
      <c r="L434" s="1026"/>
      <c r="M434" s="1026"/>
      <c r="N434" s="1026"/>
      <c r="O434" s="1026"/>
      <c r="P434" s="1026"/>
      <c r="Q434" s="1026"/>
      <c r="R434" s="1026"/>
      <c r="S434" s="1026"/>
      <c r="T434" s="1026"/>
      <c r="U434" s="1026"/>
      <c r="V434" s="1026"/>
      <c r="W434" s="1026"/>
      <c r="X434" s="1026"/>
      <c r="Y434" s="1026"/>
      <c r="Z434" s="1026"/>
    </row>
    <row r="435" spans="1:26">
      <c r="A435" s="1026"/>
      <c r="B435" s="1026"/>
      <c r="C435" s="1026"/>
      <c r="D435" s="1026"/>
      <c r="E435" s="1026"/>
      <c r="F435" s="1026"/>
      <c r="G435" s="1026"/>
      <c r="H435" s="1026"/>
      <c r="I435" s="1026"/>
      <c r="J435" s="1026"/>
      <c r="K435" s="1026"/>
      <c r="L435" s="1026"/>
      <c r="M435" s="1026"/>
      <c r="N435" s="1026"/>
      <c r="O435" s="1026"/>
      <c r="P435" s="1026"/>
      <c r="Q435" s="1026"/>
      <c r="R435" s="1026"/>
      <c r="S435" s="1026"/>
      <c r="T435" s="1026"/>
      <c r="U435" s="1026"/>
      <c r="V435" s="1026"/>
      <c r="W435" s="1026"/>
      <c r="X435" s="1026"/>
      <c r="Y435" s="1026"/>
      <c r="Z435" s="1026"/>
    </row>
    <row r="436" spans="1:26">
      <c r="A436" s="1026"/>
      <c r="B436" s="1026"/>
      <c r="C436" s="1026"/>
      <c r="D436" s="1026"/>
      <c r="E436" s="1026"/>
      <c r="F436" s="1026"/>
      <c r="G436" s="1026"/>
      <c r="H436" s="1026"/>
      <c r="I436" s="1026"/>
      <c r="J436" s="1026"/>
      <c r="K436" s="1026"/>
      <c r="L436" s="1026"/>
      <c r="M436" s="1026"/>
      <c r="N436" s="1026"/>
      <c r="O436" s="1026"/>
      <c r="P436" s="1026"/>
      <c r="Q436" s="1026"/>
      <c r="R436" s="1026"/>
      <c r="S436" s="1026"/>
      <c r="T436" s="1026"/>
      <c r="U436" s="1026"/>
      <c r="V436" s="1026"/>
      <c r="W436" s="1026"/>
      <c r="X436" s="1026"/>
      <c r="Y436" s="1026"/>
      <c r="Z436" s="1026"/>
    </row>
    <row r="437" spans="1:26">
      <c r="A437" s="1026"/>
      <c r="B437" s="1026"/>
      <c r="C437" s="1026"/>
      <c r="D437" s="1026"/>
      <c r="E437" s="1026"/>
      <c r="F437" s="1026"/>
      <c r="G437" s="1026"/>
      <c r="H437" s="1026"/>
      <c r="I437" s="1026"/>
      <c r="J437" s="1026"/>
      <c r="K437" s="1026"/>
      <c r="L437" s="1026"/>
      <c r="M437" s="1026"/>
      <c r="N437" s="1026"/>
      <c r="O437" s="1026"/>
      <c r="P437" s="1026"/>
      <c r="Q437" s="1026"/>
      <c r="R437" s="1026"/>
      <c r="S437" s="1026"/>
      <c r="T437" s="1026"/>
      <c r="U437" s="1026"/>
      <c r="V437" s="1026"/>
      <c r="W437" s="1026"/>
      <c r="X437" s="1026"/>
      <c r="Y437" s="1026"/>
      <c r="Z437" s="1026"/>
    </row>
    <row r="438" spans="1:26">
      <c r="A438" s="1026"/>
      <c r="B438" s="1026"/>
      <c r="C438" s="1026"/>
      <c r="D438" s="1026"/>
      <c r="E438" s="1026"/>
      <c r="F438" s="1026"/>
      <c r="G438" s="1026"/>
      <c r="H438" s="1026"/>
      <c r="I438" s="1026"/>
      <c r="J438" s="1026"/>
      <c r="K438" s="1026"/>
      <c r="L438" s="1026"/>
      <c r="M438" s="1026"/>
      <c r="N438" s="1026"/>
      <c r="O438" s="1026"/>
      <c r="P438" s="1026"/>
      <c r="Q438" s="1026"/>
      <c r="R438" s="1026"/>
      <c r="S438" s="1026"/>
      <c r="T438" s="1026"/>
      <c r="U438" s="1026"/>
      <c r="V438" s="1026"/>
      <c r="W438" s="1026"/>
      <c r="X438" s="1026"/>
      <c r="Y438" s="1026"/>
      <c r="Z438" s="1026"/>
    </row>
    <row r="439" spans="1:26">
      <c r="A439" s="1026"/>
      <c r="B439" s="1026"/>
      <c r="C439" s="1026"/>
      <c r="D439" s="1026"/>
      <c r="E439" s="1026"/>
      <c r="F439" s="1026"/>
      <c r="G439" s="1026"/>
      <c r="H439" s="1026"/>
      <c r="I439" s="1026"/>
      <c r="J439" s="1026"/>
      <c r="K439" s="1026"/>
      <c r="L439" s="1026"/>
      <c r="M439" s="1026"/>
      <c r="N439" s="1026"/>
      <c r="O439" s="1026"/>
      <c r="P439" s="1026"/>
      <c r="Q439" s="1026"/>
      <c r="R439" s="1026"/>
      <c r="S439" s="1026"/>
      <c r="T439" s="1026"/>
      <c r="U439" s="1026"/>
      <c r="V439" s="1026"/>
      <c r="W439" s="1026"/>
      <c r="X439" s="1026"/>
      <c r="Y439" s="1026"/>
      <c r="Z439" s="1026"/>
    </row>
    <row r="440" spans="1:26">
      <c r="A440" s="1026"/>
      <c r="B440" s="1026"/>
      <c r="C440" s="1026"/>
      <c r="D440" s="1026"/>
      <c r="E440" s="1026"/>
      <c r="F440" s="1026"/>
      <c r="G440" s="1026"/>
      <c r="H440" s="1026"/>
      <c r="I440" s="1026"/>
      <c r="J440" s="1026"/>
      <c r="K440" s="1026"/>
      <c r="L440" s="1026"/>
      <c r="M440" s="1026"/>
      <c r="N440" s="1026"/>
      <c r="O440" s="1026"/>
      <c r="P440" s="1026"/>
      <c r="Q440" s="1026"/>
      <c r="R440" s="1026"/>
      <c r="S440" s="1026"/>
      <c r="T440" s="1026"/>
      <c r="U440" s="1026"/>
      <c r="V440" s="1026"/>
      <c r="W440" s="1026"/>
      <c r="X440" s="1026"/>
      <c r="Y440" s="1026"/>
      <c r="Z440" s="1026"/>
    </row>
    <row r="441" spans="1:26">
      <c r="A441" s="1026"/>
      <c r="B441" s="1026"/>
      <c r="C441" s="1026"/>
      <c r="D441" s="1026"/>
      <c r="E441" s="1026"/>
      <c r="F441" s="1026"/>
      <c r="G441" s="1026"/>
      <c r="H441" s="1026"/>
      <c r="I441" s="1026"/>
      <c r="J441" s="1026"/>
      <c r="K441" s="1026"/>
      <c r="L441" s="1026"/>
      <c r="M441" s="1026"/>
      <c r="N441" s="1026"/>
      <c r="O441" s="1026"/>
      <c r="P441" s="1026"/>
      <c r="Q441" s="1026"/>
      <c r="R441" s="1026"/>
      <c r="S441" s="1026"/>
      <c r="T441" s="1026"/>
      <c r="U441" s="1026"/>
      <c r="V441" s="1026"/>
      <c r="W441" s="1026"/>
      <c r="X441" s="1026"/>
      <c r="Y441" s="1026"/>
      <c r="Z441" s="1026"/>
    </row>
    <row r="442" spans="1:26">
      <c r="A442" s="1026"/>
      <c r="B442" s="1026"/>
      <c r="C442" s="1026"/>
      <c r="D442" s="1026"/>
      <c r="E442" s="1026"/>
      <c r="F442" s="1026"/>
      <c r="G442" s="1026"/>
      <c r="H442" s="1026"/>
      <c r="I442" s="1026"/>
      <c r="J442" s="1026"/>
      <c r="K442" s="1026"/>
      <c r="L442" s="1026"/>
      <c r="M442" s="1026"/>
      <c r="N442" s="1026"/>
      <c r="O442" s="1026"/>
      <c r="P442" s="1026"/>
      <c r="Q442" s="1026"/>
      <c r="R442" s="1026"/>
      <c r="S442" s="1026"/>
      <c r="T442" s="1026"/>
      <c r="U442" s="1026"/>
      <c r="V442" s="1026"/>
      <c r="W442" s="1026"/>
      <c r="X442" s="1026"/>
      <c r="Y442" s="1026"/>
      <c r="Z442" s="1026"/>
    </row>
    <row r="443" spans="1:26">
      <c r="A443" s="1026"/>
      <c r="B443" s="1026"/>
      <c r="C443" s="1026"/>
      <c r="D443" s="1026"/>
      <c r="E443" s="1026"/>
      <c r="F443" s="1026"/>
      <c r="G443" s="1026"/>
      <c r="H443" s="1026"/>
      <c r="I443" s="1026"/>
      <c r="J443" s="1026"/>
      <c r="K443" s="1026"/>
      <c r="L443" s="1026"/>
      <c r="M443" s="1026"/>
      <c r="N443" s="1026"/>
      <c r="O443" s="1026"/>
      <c r="P443" s="1026"/>
      <c r="Q443" s="1026"/>
      <c r="R443" s="1026"/>
      <c r="S443" s="1026"/>
      <c r="T443" s="1026"/>
      <c r="U443" s="1026"/>
      <c r="V443" s="1026"/>
      <c r="W443" s="1026"/>
      <c r="X443" s="1026"/>
      <c r="Y443" s="1026"/>
      <c r="Z443" s="1026"/>
    </row>
    <row r="444" spans="1:26">
      <c r="A444" s="1026"/>
      <c r="B444" s="1026"/>
      <c r="C444" s="1026"/>
      <c r="D444" s="1026"/>
      <c r="E444" s="1026"/>
      <c r="F444" s="1026"/>
      <c r="G444" s="1026"/>
      <c r="H444" s="1026"/>
      <c r="I444" s="1026"/>
      <c r="J444" s="1026"/>
      <c r="K444" s="1026"/>
      <c r="L444" s="1026"/>
      <c r="M444" s="1026"/>
      <c r="N444" s="1026"/>
      <c r="O444" s="1026"/>
      <c r="P444" s="1026"/>
      <c r="Q444" s="1026"/>
      <c r="R444" s="1026"/>
      <c r="S444" s="1026"/>
      <c r="T444" s="1026"/>
      <c r="U444" s="1026"/>
      <c r="V444" s="1026"/>
      <c r="W444" s="1026"/>
      <c r="X444" s="1026"/>
      <c r="Y444" s="1026"/>
      <c r="Z444" s="1026"/>
    </row>
    <row r="445" spans="1:26">
      <c r="A445" s="1026"/>
      <c r="B445" s="1026"/>
      <c r="C445" s="1026"/>
      <c r="D445" s="1026"/>
      <c r="E445" s="1026"/>
      <c r="F445" s="1026"/>
      <c r="G445" s="1026"/>
      <c r="H445" s="1026"/>
      <c r="I445" s="1026"/>
      <c r="J445" s="1026"/>
      <c r="K445" s="1026"/>
      <c r="L445" s="1026"/>
      <c r="M445" s="1026"/>
      <c r="N445" s="1026"/>
      <c r="O445" s="1026"/>
      <c r="P445" s="1026"/>
      <c r="Q445" s="1026"/>
      <c r="R445" s="1026"/>
      <c r="S445" s="1026"/>
      <c r="T445" s="1026"/>
      <c r="U445" s="1026"/>
      <c r="V445" s="1026"/>
      <c r="W445" s="1026"/>
      <c r="X445" s="1026"/>
      <c r="Y445" s="1026"/>
      <c r="Z445" s="1026"/>
    </row>
    <row r="446" spans="1:26">
      <c r="A446" s="1026"/>
      <c r="B446" s="1026"/>
      <c r="C446" s="1026"/>
      <c r="D446" s="1026"/>
      <c r="E446" s="1026"/>
      <c r="F446" s="1026"/>
      <c r="G446" s="1026"/>
      <c r="H446" s="1026"/>
      <c r="I446" s="1026"/>
      <c r="J446" s="1026"/>
      <c r="K446" s="1026"/>
      <c r="L446" s="1026"/>
      <c r="M446" s="1026"/>
      <c r="N446" s="1026"/>
      <c r="O446" s="1026"/>
      <c r="P446" s="1026"/>
      <c r="Q446" s="1026"/>
      <c r="R446" s="1026"/>
      <c r="S446" s="1026"/>
      <c r="T446" s="1026"/>
      <c r="U446" s="1026"/>
      <c r="V446" s="1026"/>
      <c r="W446" s="1026"/>
      <c r="X446" s="1026"/>
      <c r="Y446" s="1026"/>
      <c r="Z446" s="1026"/>
    </row>
    <row r="447" spans="1:26">
      <c r="A447" s="1026"/>
      <c r="B447" s="1026"/>
      <c r="C447" s="1026"/>
      <c r="D447" s="1026"/>
      <c r="E447" s="1026"/>
      <c r="F447" s="1026"/>
      <c r="G447" s="1026"/>
      <c r="H447" s="1026"/>
      <c r="I447" s="1026"/>
      <c r="J447" s="1026"/>
      <c r="K447" s="1026"/>
      <c r="L447" s="1026"/>
      <c r="M447" s="1026"/>
      <c r="N447" s="1026"/>
      <c r="O447" s="1026"/>
      <c r="P447" s="1026"/>
      <c r="Q447" s="1026"/>
      <c r="R447" s="1026"/>
      <c r="S447" s="1026"/>
      <c r="T447" s="1026"/>
      <c r="U447" s="1026"/>
      <c r="V447" s="1026"/>
      <c r="W447" s="1026"/>
      <c r="X447" s="1026"/>
      <c r="Y447" s="1026"/>
      <c r="Z447" s="1026"/>
    </row>
    <row r="448" spans="1:26">
      <c r="A448" s="1026"/>
      <c r="B448" s="1026"/>
      <c r="C448" s="1026"/>
      <c r="D448" s="1026"/>
      <c r="E448" s="1026"/>
      <c r="F448" s="1026"/>
      <c r="G448" s="1026"/>
      <c r="H448" s="1026"/>
      <c r="I448" s="1026"/>
      <c r="J448" s="1026"/>
      <c r="K448" s="1026"/>
      <c r="L448" s="1026"/>
      <c r="M448" s="1026"/>
      <c r="N448" s="1026"/>
      <c r="O448" s="1026"/>
      <c r="P448" s="1026"/>
      <c r="Q448" s="1026"/>
      <c r="R448" s="1026"/>
      <c r="S448" s="1026"/>
      <c r="T448" s="1026"/>
      <c r="U448" s="1026"/>
      <c r="V448" s="1026"/>
      <c r="W448" s="1026"/>
      <c r="X448" s="1026"/>
      <c r="Y448" s="1026"/>
      <c r="Z448" s="1026"/>
    </row>
    <row r="449" spans="1:26">
      <c r="A449" s="1026"/>
      <c r="B449" s="1026"/>
      <c r="C449" s="1026"/>
      <c r="D449" s="1026"/>
      <c r="E449" s="1026"/>
      <c r="F449" s="1026"/>
      <c r="G449" s="1026"/>
      <c r="H449" s="1026"/>
      <c r="I449" s="1026"/>
      <c r="J449" s="1026"/>
      <c r="K449" s="1026"/>
      <c r="L449" s="1026"/>
      <c r="M449" s="1026"/>
      <c r="N449" s="1026"/>
      <c r="O449" s="1026"/>
      <c r="P449" s="1026"/>
      <c r="Q449" s="1026"/>
      <c r="R449" s="1026"/>
      <c r="S449" s="1026"/>
      <c r="T449" s="1026"/>
      <c r="U449" s="1026"/>
      <c r="V449" s="1026"/>
      <c r="W449" s="1026"/>
      <c r="X449" s="1026"/>
      <c r="Y449" s="1026"/>
      <c r="Z449" s="1026"/>
    </row>
    <row r="450" spans="1:26">
      <c r="A450" s="1026"/>
      <c r="B450" s="1026"/>
      <c r="C450" s="1026"/>
      <c r="D450" s="1026"/>
      <c r="E450" s="1026"/>
      <c r="F450" s="1026"/>
      <c r="G450" s="1026"/>
      <c r="H450" s="1026"/>
      <c r="I450" s="1026"/>
      <c r="J450" s="1026"/>
      <c r="K450" s="1026"/>
      <c r="L450" s="1026"/>
      <c r="M450" s="1026"/>
      <c r="N450" s="1026"/>
      <c r="O450" s="1026"/>
      <c r="P450" s="1026"/>
      <c r="Q450" s="1026"/>
      <c r="R450" s="1026"/>
      <c r="S450" s="1026"/>
      <c r="T450" s="1026"/>
      <c r="U450" s="1026"/>
      <c r="V450" s="1026"/>
      <c r="W450" s="1026"/>
      <c r="X450" s="1026"/>
      <c r="Y450" s="1026"/>
      <c r="Z450" s="1026"/>
    </row>
    <row r="451" spans="1:26">
      <c r="A451" s="1026"/>
      <c r="B451" s="1026"/>
      <c r="C451" s="1026"/>
      <c r="D451" s="1026"/>
      <c r="E451" s="1026"/>
      <c r="F451" s="1026"/>
      <c r="G451" s="1026"/>
      <c r="H451" s="1026"/>
      <c r="I451" s="1026"/>
      <c r="J451" s="1026"/>
      <c r="K451" s="1026"/>
      <c r="L451" s="1026"/>
      <c r="M451" s="1026"/>
      <c r="N451" s="1026"/>
      <c r="O451" s="1026"/>
      <c r="P451" s="1026"/>
      <c r="Q451" s="1026"/>
      <c r="R451" s="1026"/>
      <c r="S451" s="1026"/>
      <c r="T451" s="1026"/>
      <c r="U451" s="1026"/>
      <c r="V451" s="1026"/>
      <c r="W451" s="1026"/>
      <c r="X451" s="1026"/>
      <c r="Y451" s="1026"/>
      <c r="Z451" s="1026"/>
    </row>
    <row r="452" spans="1:26">
      <c r="A452" s="1026"/>
      <c r="B452" s="1026"/>
      <c r="C452" s="1026"/>
      <c r="D452" s="1026"/>
      <c r="E452" s="1026"/>
      <c r="F452" s="1026"/>
      <c r="G452" s="1026"/>
      <c r="H452" s="1026"/>
      <c r="I452" s="1026"/>
      <c r="J452" s="1026"/>
      <c r="K452" s="1026"/>
      <c r="L452" s="1026"/>
      <c r="M452" s="1026"/>
      <c r="N452" s="1026"/>
      <c r="O452" s="1026"/>
      <c r="P452" s="1026"/>
      <c r="Q452" s="1026"/>
      <c r="R452" s="1026"/>
      <c r="S452" s="1026"/>
      <c r="T452" s="1026"/>
      <c r="U452" s="1026"/>
      <c r="V452" s="1026"/>
      <c r="W452" s="1026"/>
      <c r="X452" s="1026"/>
      <c r="Y452" s="1026"/>
      <c r="Z452" s="1026"/>
    </row>
    <row r="453" spans="1:26">
      <c r="A453" s="1026"/>
      <c r="B453" s="1026"/>
      <c r="C453" s="1026"/>
      <c r="D453" s="1026"/>
      <c r="E453" s="1026"/>
      <c r="F453" s="1026"/>
      <c r="G453" s="1026"/>
      <c r="H453" s="1026"/>
      <c r="I453" s="1026"/>
      <c r="J453" s="1026"/>
      <c r="K453" s="1026"/>
      <c r="L453" s="1026"/>
      <c r="M453" s="1026"/>
      <c r="N453" s="1026"/>
      <c r="O453" s="1026"/>
      <c r="P453" s="1026"/>
      <c r="Q453" s="1026"/>
      <c r="R453" s="1026"/>
      <c r="S453" s="1026"/>
      <c r="T453" s="1026"/>
      <c r="U453" s="1026"/>
      <c r="V453" s="1026"/>
      <c r="W453" s="1026"/>
      <c r="X453" s="1026"/>
      <c r="Y453" s="1026"/>
      <c r="Z453" s="1026"/>
    </row>
    <row r="454" spans="1:26">
      <c r="A454" s="1026"/>
      <c r="B454" s="1026"/>
      <c r="C454" s="1026"/>
      <c r="D454" s="1026"/>
      <c r="E454" s="1026"/>
      <c r="F454" s="1026"/>
      <c r="G454" s="1026"/>
      <c r="H454" s="1026"/>
      <c r="I454" s="1026"/>
      <c r="J454" s="1026"/>
      <c r="K454" s="1026"/>
      <c r="L454" s="1026"/>
      <c r="M454" s="1026"/>
      <c r="N454" s="1026"/>
      <c r="O454" s="1026"/>
      <c r="P454" s="1026"/>
      <c r="Q454" s="1026"/>
      <c r="R454" s="1026"/>
      <c r="S454" s="1026"/>
      <c r="T454" s="1026"/>
      <c r="U454" s="1026"/>
      <c r="V454" s="1026"/>
      <c r="W454" s="1026"/>
      <c r="X454" s="1026"/>
      <c r="Y454" s="1026"/>
      <c r="Z454" s="1026"/>
    </row>
    <row r="455" spans="1:26">
      <c r="A455" s="1026"/>
      <c r="B455" s="1026"/>
      <c r="C455" s="1026"/>
      <c r="D455" s="1026"/>
      <c r="E455" s="1026"/>
      <c r="F455" s="1026"/>
      <c r="G455" s="1026"/>
      <c r="H455" s="1026"/>
      <c r="I455" s="1026"/>
      <c r="J455" s="1026"/>
      <c r="K455" s="1026"/>
      <c r="L455" s="1026"/>
      <c r="M455" s="1026"/>
      <c r="N455" s="1026"/>
      <c r="O455" s="1026"/>
      <c r="P455" s="1026"/>
      <c r="Q455" s="1026"/>
      <c r="R455" s="1026"/>
      <c r="S455" s="1026"/>
      <c r="T455" s="1026"/>
      <c r="U455" s="1026"/>
      <c r="V455" s="1026"/>
      <c r="W455" s="1026"/>
      <c r="X455" s="1026"/>
      <c r="Y455" s="1026"/>
      <c r="Z455" s="1026"/>
    </row>
    <row r="456" spans="1:26">
      <c r="A456" s="1026"/>
      <c r="B456" s="1026"/>
      <c r="C456" s="1026"/>
      <c r="D456" s="1026"/>
      <c r="E456" s="1026"/>
      <c r="F456" s="1026"/>
      <c r="G456" s="1026"/>
      <c r="H456" s="1026"/>
      <c r="I456" s="1026"/>
      <c r="J456" s="1026"/>
      <c r="K456" s="1026"/>
      <c r="L456" s="1026"/>
      <c r="M456" s="1026"/>
      <c r="N456" s="1026"/>
      <c r="O456" s="1026"/>
      <c r="P456" s="1026"/>
      <c r="Q456" s="1026"/>
      <c r="R456" s="1026"/>
      <c r="S456" s="1026"/>
      <c r="T456" s="1026"/>
      <c r="U456" s="1026"/>
      <c r="V456" s="1026"/>
      <c r="W456" s="1026"/>
      <c r="X456" s="1026"/>
      <c r="Y456" s="1026"/>
      <c r="Z456" s="1026"/>
    </row>
    <row r="457" spans="1:26">
      <c r="A457" s="1026"/>
      <c r="B457" s="1026"/>
      <c r="C457" s="1026"/>
      <c r="D457" s="1026"/>
      <c r="E457" s="1026"/>
      <c r="F457" s="1026"/>
      <c r="G457" s="1026"/>
      <c r="H457" s="1026"/>
      <c r="I457" s="1026"/>
      <c r="J457" s="1026"/>
      <c r="K457" s="1026"/>
      <c r="L457" s="1026"/>
      <c r="M457" s="1026"/>
      <c r="N457" s="1026"/>
      <c r="O457" s="1026"/>
      <c r="P457" s="1026"/>
      <c r="Q457" s="1026"/>
      <c r="R457" s="1026"/>
      <c r="S457" s="1026"/>
      <c r="T457" s="1026"/>
      <c r="U457" s="1026"/>
      <c r="V457" s="1026"/>
      <c r="W457" s="1026"/>
      <c r="X457" s="1026"/>
      <c r="Y457" s="1026"/>
      <c r="Z457" s="1026"/>
    </row>
    <row r="458" spans="1:26">
      <c r="A458" s="1026"/>
      <c r="B458" s="1026"/>
      <c r="C458" s="1026"/>
      <c r="D458" s="1026"/>
      <c r="E458" s="1026"/>
      <c r="F458" s="1026"/>
      <c r="G458" s="1026"/>
      <c r="H458" s="1026"/>
      <c r="I458" s="1026"/>
      <c r="J458" s="1026"/>
      <c r="K458" s="1026"/>
      <c r="L458" s="1026"/>
      <c r="M458" s="1026"/>
      <c r="N458" s="1026"/>
      <c r="O458" s="1026"/>
      <c r="P458" s="1026"/>
      <c r="Q458" s="1026"/>
      <c r="R458" s="1026"/>
      <c r="S458" s="1026"/>
      <c r="T458" s="1026"/>
      <c r="U458" s="1026"/>
      <c r="V458" s="1026"/>
      <c r="W458" s="1026"/>
      <c r="X458" s="1026"/>
      <c r="Y458" s="1026"/>
      <c r="Z458" s="1026"/>
    </row>
    <row r="459" spans="1:26">
      <c r="A459" s="1026"/>
      <c r="B459" s="1026"/>
      <c r="C459" s="1026"/>
      <c r="D459" s="1026"/>
      <c r="E459" s="1026"/>
      <c r="F459" s="1026"/>
      <c r="G459" s="1026"/>
      <c r="H459" s="1026"/>
      <c r="I459" s="1026"/>
      <c r="J459" s="1026"/>
      <c r="K459" s="1026"/>
      <c r="L459" s="1026"/>
      <c r="M459" s="1026"/>
      <c r="N459" s="1026"/>
      <c r="O459" s="1026"/>
      <c r="P459" s="1026"/>
      <c r="Q459" s="1026"/>
      <c r="R459" s="1026"/>
      <c r="S459" s="1026"/>
      <c r="T459" s="1026"/>
      <c r="U459" s="1026"/>
      <c r="V459" s="1026"/>
      <c r="W459" s="1026"/>
      <c r="X459" s="1026"/>
      <c r="Y459" s="1026"/>
      <c r="Z459" s="1026"/>
    </row>
    <row r="460" spans="1:26">
      <c r="A460" s="1026"/>
      <c r="B460" s="1026"/>
      <c r="C460" s="1026"/>
      <c r="D460" s="1026"/>
      <c r="E460" s="1026"/>
      <c r="F460" s="1026"/>
      <c r="G460" s="1026"/>
      <c r="H460" s="1026"/>
      <c r="I460" s="1026"/>
      <c r="J460" s="1026"/>
      <c r="K460" s="1026"/>
      <c r="L460" s="1026"/>
      <c r="M460" s="1026"/>
      <c r="N460" s="1026"/>
      <c r="O460" s="1026"/>
      <c r="P460" s="1026"/>
      <c r="Q460" s="1026"/>
      <c r="R460" s="1026"/>
      <c r="S460" s="1026"/>
      <c r="T460" s="1026"/>
      <c r="U460" s="1026"/>
      <c r="V460" s="1026"/>
      <c r="W460" s="1026"/>
      <c r="X460" s="1026"/>
      <c r="Y460" s="1026"/>
      <c r="Z460" s="1026"/>
    </row>
    <row r="461" spans="1:26">
      <c r="A461" s="1026"/>
      <c r="B461" s="1026"/>
      <c r="C461" s="1026"/>
      <c r="D461" s="1026"/>
      <c r="E461" s="1026"/>
      <c r="F461" s="1026"/>
      <c r="G461" s="1026"/>
      <c r="H461" s="1026"/>
      <c r="I461" s="1026"/>
      <c r="J461" s="1026"/>
      <c r="K461" s="1026"/>
      <c r="L461" s="1026"/>
      <c r="M461" s="1026"/>
      <c r="N461" s="1026"/>
      <c r="O461" s="1026"/>
      <c r="P461" s="1026"/>
      <c r="Q461" s="1026"/>
      <c r="R461" s="1026"/>
      <c r="S461" s="1026"/>
      <c r="T461" s="1026"/>
      <c r="U461" s="1026"/>
      <c r="V461" s="1026"/>
      <c r="W461" s="1026"/>
      <c r="X461" s="1026"/>
      <c r="Y461" s="1026"/>
      <c r="Z461" s="1026"/>
    </row>
    <row r="462" spans="1:26">
      <c r="A462" s="1026"/>
      <c r="B462" s="1026"/>
      <c r="C462" s="1026"/>
      <c r="D462" s="1026"/>
      <c r="E462" s="1026"/>
      <c r="F462" s="1026"/>
      <c r="G462" s="1026"/>
      <c r="H462" s="1026"/>
      <c r="I462" s="1026"/>
      <c r="J462" s="1026"/>
      <c r="K462" s="1026"/>
      <c r="L462" s="1026"/>
      <c r="M462" s="1026"/>
      <c r="N462" s="1026"/>
      <c r="O462" s="1026"/>
      <c r="P462" s="1026"/>
      <c r="Q462" s="1026"/>
      <c r="R462" s="1026"/>
      <c r="S462" s="1026"/>
      <c r="T462" s="1026"/>
      <c r="U462" s="1026"/>
      <c r="V462" s="1026"/>
      <c r="W462" s="1026"/>
      <c r="X462" s="1026"/>
      <c r="Y462" s="1026"/>
      <c r="Z462" s="1026"/>
    </row>
    <row r="463" spans="1:26">
      <c r="A463" s="1026"/>
      <c r="B463" s="1026"/>
      <c r="C463" s="1026"/>
      <c r="D463" s="1026"/>
      <c r="E463" s="1026"/>
      <c r="F463" s="1026"/>
      <c r="G463" s="1026"/>
      <c r="H463" s="1026"/>
      <c r="I463" s="1026"/>
      <c r="J463" s="1026"/>
      <c r="K463" s="1026"/>
      <c r="L463" s="1026"/>
      <c r="M463" s="1026"/>
      <c r="N463" s="1026"/>
      <c r="O463" s="1026"/>
      <c r="P463" s="1026"/>
      <c r="Q463" s="1026"/>
      <c r="R463" s="1026"/>
      <c r="S463" s="1026"/>
      <c r="T463" s="1026"/>
      <c r="U463" s="1026"/>
      <c r="V463" s="1026"/>
      <c r="W463" s="1026"/>
      <c r="X463" s="1026"/>
      <c r="Y463" s="1026"/>
      <c r="Z463" s="1026"/>
    </row>
    <row r="464" spans="1:26">
      <c r="A464" s="1026"/>
      <c r="B464" s="1026"/>
      <c r="C464" s="1026"/>
      <c r="D464" s="1026"/>
      <c r="E464" s="1026"/>
      <c r="F464" s="1026"/>
      <c r="G464" s="1026"/>
      <c r="H464" s="1026"/>
      <c r="I464" s="1026"/>
      <c r="J464" s="1026"/>
      <c r="K464" s="1026"/>
      <c r="L464" s="1026"/>
      <c r="M464" s="1026"/>
      <c r="N464" s="1026"/>
      <c r="O464" s="1026"/>
      <c r="P464" s="1026"/>
      <c r="Q464" s="1026"/>
      <c r="R464" s="1026"/>
      <c r="S464" s="1026"/>
      <c r="T464" s="1026"/>
      <c r="U464" s="1026"/>
      <c r="V464" s="1026"/>
      <c r="W464" s="1026"/>
      <c r="X464" s="1026"/>
      <c r="Y464" s="1026"/>
      <c r="Z464" s="1026"/>
    </row>
    <row r="465" spans="1:26">
      <c r="A465" s="1026"/>
      <c r="B465" s="1026"/>
      <c r="C465" s="1026"/>
      <c r="D465" s="1026"/>
      <c r="E465" s="1026"/>
      <c r="F465" s="1026"/>
      <c r="G465" s="1026"/>
      <c r="H465" s="1026"/>
      <c r="I465" s="1026"/>
      <c r="J465" s="1026"/>
      <c r="K465" s="1026"/>
      <c r="L465" s="1026"/>
      <c r="M465" s="1026"/>
      <c r="N465" s="1026"/>
      <c r="O465" s="1026"/>
      <c r="P465" s="1026"/>
      <c r="Q465" s="1026"/>
      <c r="R465" s="1026"/>
      <c r="S465" s="1026"/>
      <c r="T465" s="1026"/>
      <c r="U465" s="1026"/>
      <c r="V465" s="1026"/>
      <c r="W465" s="1026"/>
      <c r="X465" s="1026"/>
      <c r="Y465" s="1026"/>
      <c r="Z465" s="1026"/>
    </row>
    <row r="466" spans="1:26">
      <c r="A466" s="1026"/>
      <c r="B466" s="1026"/>
      <c r="C466" s="1026"/>
      <c r="D466" s="1026"/>
      <c r="E466" s="1026"/>
      <c r="F466" s="1026"/>
      <c r="G466" s="1026"/>
      <c r="H466" s="1026"/>
      <c r="I466" s="1026"/>
      <c r="J466" s="1026"/>
      <c r="K466" s="1026"/>
      <c r="L466" s="1026"/>
      <c r="M466" s="1026"/>
      <c r="N466" s="1026"/>
      <c r="O466" s="1026"/>
      <c r="P466" s="1026"/>
      <c r="Q466" s="1026"/>
      <c r="R466" s="1026"/>
      <c r="S466" s="1026"/>
      <c r="T466" s="1026"/>
      <c r="U466" s="1026"/>
      <c r="V466" s="1026"/>
      <c r="W466" s="1026"/>
      <c r="X466" s="1026"/>
      <c r="Y466" s="1026"/>
      <c r="Z466" s="1026"/>
    </row>
    <row r="467" spans="1:26">
      <c r="A467" s="1026"/>
      <c r="B467" s="1026"/>
      <c r="C467" s="1026"/>
      <c r="D467" s="1026"/>
      <c r="E467" s="1026"/>
      <c r="F467" s="1026"/>
      <c r="G467" s="1026"/>
      <c r="H467" s="1026"/>
      <c r="I467" s="1026"/>
      <c r="J467" s="1026"/>
      <c r="K467" s="1026"/>
      <c r="L467" s="1026"/>
      <c r="M467" s="1026"/>
      <c r="N467" s="1026"/>
      <c r="O467" s="1026"/>
      <c r="P467" s="1026"/>
      <c r="Q467" s="1026"/>
      <c r="R467" s="1026"/>
      <c r="S467" s="1026"/>
      <c r="T467" s="1026"/>
      <c r="U467" s="1026"/>
      <c r="V467" s="1026"/>
      <c r="W467" s="1026"/>
      <c r="X467" s="1026"/>
      <c r="Y467" s="1026"/>
      <c r="Z467" s="1026"/>
    </row>
    <row r="468" spans="1:26">
      <c r="A468" s="1026"/>
      <c r="B468" s="1026"/>
      <c r="C468" s="1026"/>
      <c r="D468" s="1026"/>
      <c r="E468" s="1026"/>
      <c r="F468" s="1026"/>
      <c r="G468" s="1026"/>
      <c r="H468" s="1026"/>
      <c r="I468" s="1026"/>
      <c r="J468" s="1026"/>
      <c r="K468" s="1026"/>
      <c r="L468" s="1026"/>
      <c r="M468" s="1026"/>
      <c r="N468" s="1026"/>
      <c r="O468" s="1026"/>
      <c r="P468" s="1026"/>
      <c r="Q468" s="1026"/>
      <c r="R468" s="1026"/>
      <c r="S468" s="1026"/>
      <c r="T468" s="1026"/>
      <c r="U468" s="1026"/>
      <c r="V468" s="1026"/>
      <c r="W468" s="1026"/>
      <c r="X468" s="1026"/>
      <c r="Y468" s="1026"/>
      <c r="Z468" s="1026"/>
    </row>
    <row r="469" spans="1:26">
      <c r="A469" s="1026"/>
      <c r="B469" s="1026"/>
      <c r="C469" s="1026"/>
      <c r="D469" s="1026"/>
      <c r="E469" s="1026"/>
      <c r="F469" s="1026"/>
      <c r="G469" s="1026"/>
      <c r="H469" s="1026"/>
      <c r="I469" s="1026"/>
      <c r="J469" s="1026"/>
      <c r="K469" s="1026"/>
      <c r="L469" s="1026"/>
      <c r="M469" s="1026"/>
      <c r="N469" s="1026"/>
      <c r="O469" s="1026"/>
      <c r="P469" s="1026"/>
      <c r="Q469" s="1026"/>
      <c r="R469" s="1026"/>
      <c r="S469" s="1026"/>
      <c r="T469" s="1026"/>
      <c r="U469" s="1026"/>
      <c r="V469" s="1026"/>
      <c r="W469" s="1026"/>
      <c r="X469" s="1026"/>
      <c r="Y469" s="1026"/>
      <c r="Z469" s="1026"/>
    </row>
    <row r="470" spans="1:26">
      <c r="A470" s="1026"/>
      <c r="B470" s="1026"/>
      <c r="C470" s="1026"/>
      <c r="D470" s="1026"/>
      <c r="E470" s="1026"/>
      <c r="F470" s="1026"/>
      <c r="G470" s="1026"/>
      <c r="H470" s="1026"/>
      <c r="I470" s="1026"/>
      <c r="J470" s="1026"/>
      <c r="K470" s="1026"/>
      <c r="L470" s="1026"/>
      <c r="M470" s="1026"/>
      <c r="N470" s="1026"/>
      <c r="O470" s="1026"/>
      <c r="P470" s="1026"/>
      <c r="Q470" s="1026"/>
      <c r="R470" s="1026"/>
      <c r="S470" s="1026"/>
      <c r="T470" s="1026"/>
      <c r="U470" s="1026"/>
      <c r="V470" s="1026"/>
      <c r="W470" s="1026"/>
      <c r="X470" s="1026"/>
      <c r="Y470" s="1026"/>
      <c r="Z470" s="1026"/>
    </row>
    <row r="471" spans="1:26">
      <c r="A471" s="1026"/>
      <c r="B471" s="1026"/>
      <c r="C471" s="1026"/>
      <c r="D471" s="1026"/>
      <c r="E471" s="1026"/>
      <c r="F471" s="1026"/>
      <c r="G471" s="1026"/>
      <c r="H471" s="1026"/>
      <c r="I471" s="1026"/>
      <c r="J471" s="1026"/>
      <c r="K471" s="1026"/>
      <c r="L471" s="1026"/>
      <c r="M471" s="1026"/>
      <c r="N471" s="1026"/>
      <c r="O471" s="1026"/>
      <c r="P471" s="1026"/>
      <c r="Q471" s="1026"/>
      <c r="R471" s="1026"/>
      <c r="S471" s="1026"/>
      <c r="T471" s="1026"/>
      <c r="U471" s="1026"/>
      <c r="V471" s="1026"/>
      <c r="W471" s="1026"/>
      <c r="X471" s="1026"/>
      <c r="Y471" s="1026"/>
      <c r="Z471" s="1026"/>
    </row>
    <row r="472" spans="1:26">
      <c r="A472" s="1026"/>
      <c r="B472" s="1026"/>
      <c r="C472" s="1026"/>
      <c r="D472" s="1026"/>
      <c r="E472" s="1026"/>
      <c r="F472" s="1026"/>
      <c r="G472" s="1026"/>
      <c r="H472" s="1026"/>
      <c r="I472" s="1026"/>
      <c r="J472" s="1026"/>
      <c r="K472" s="1026"/>
      <c r="L472" s="1026"/>
      <c r="M472" s="1026"/>
      <c r="N472" s="1026"/>
      <c r="O472" s="1026"/>
      <c r="P472" s="1026"/>
      <c r="Q472" s="1026"/>
      <c r="R472" s="1026"/>
      <c r="S472" s="1026"/>
      <c r="T472" s="1026"/>
      <c r="U472" s="1026"/>
      <c r="V472" s="1026"/>
      <c r="W472" s="1026"/>
      <c r="X472" s="1026"/>
      <c r="Y472" s="1026"/>
      <c r="Z472" s="1026"/>
    </row>
    <row r="473" spans="1:26">
      <c r="A473" s="1026"/>
      <c r="B473" s="1026"/>
      <c r="C473" s="1026"/>
      <c r="D473" s="1026"/>
      <c r="E473" s="1026"/>
      <c r="F473" s="1026"/>
      <c r="G473" s="1026"/>
      <c r="H473" s="1026"/>
      <c r="I473" s="1026"/>
      <c r="J473" s="1026"/>
      <c r="K473" s="1026"/>
      <c r="L473" s="1026"/>
      <c r="M473" s="1026"/>
      <c r="N473" s="1026"/>
      <c r="O473" s="1026"/>
      <c r="P473" s="1026"/>
      <c r="Q473" s="1026"/>
      <c r="R473" s="1026"/>
      <c r="S473" s="1026"/>
      <c r="T473" s="1026"/>
      <c r="U473" s="1026"/>
      <c r="V473" s="1026"/>
      <c r="W473" s="1026"/>
      <c r="X473" s="1026"/>
      <c r="Y473" s="1026"/>
      <c r="Z473" s="1026"/>
    </row>
    <row r="474" spans="1:26">
      <c r="A474" s="1026"/>
      <c r="B474" s="1026"/>
      <c r="C474" s="1026"/>
      <c r="D474" s="1026"/>
      <c r="E474" s="1026"/>
      <c r="F474" s="1026"/>
      <c r="G474" s="1026"/>
      <c r="H474" s="1026"/>
      <c r="I474" s="1026"/>
      <c r="J474" s="1026"/>
      <c r="K474" s="1026"/>
      <c r="L474" s="1026"/>
      <c r="M474" s="1026"/>
      <c r="N474" s="1026"/>
      <c r="O474" s="1026"/>
      <c r="P474" s="1026"/>
      <c r="Q474" s="1026"/>
      <c r="R474" s="1026"/>
      <c r="S474" s="1026"/>
      <c r="T474" s="1026"/>
      <c r="U474" s="1026"/>
      <c r="V474" s="1026"/>
      <c r="W474" s="1026"/>
      <c r="X474" s="1026"/>
      <c r="Y474" s="1026"/>
      <c r="Z474" s="1026"/>
    </row>
    <row r="475" spans="1:26">
      <c r="A475" s="1026"/>
      <c r="B475" s="1026"/>
      <c r="C475" s="1026"/>
      <c r="D475" s="1026"/>
      <c r="E475" s="1026"/>
      <c r="F475" s="1026"/>
      <c r="G475" s="1026"/>
      <c r="H475" s="1026"/>
      <c r="I475" s="1026"/>
      <c r="J475" s="1026"/>
      <c r="K475" s="1026"/>
      <c r="L475" s="1026"/>
      <c r="M475" s="1026"/>
      <c r="N475" s="1026"/>
      <c r="O475" s="1026"/>
      <c r="P475" s="1026"/>
      <c r="Q475" s="1026"/>
      <c r="R475" s="1026"/>
      <c r="S475" s="1026"/>
      <c r="T475" s="1026"/>
      <c r="U475" s="1026"/>
      <c r="V475" s="1026"/>
      <c r="W475" s="1026"/>
      <c r="X475" s="1026"/>
      <c r="Y475" s="1026"/>
      <c r="Z475" s="1026"/>
    </row>
    <row r="476" spans="1:26">
      <c r="A476" s="1026"/>
      <c r="B476" s="1026"/>
      <c r="C476" s="1026"/>
      <c r="D476" s="1026"/>
      <c r="E476" s="1026"/>
      <c r="F476" s="1026"/>
      <c r="G476" s="1026"/>
      <c r="H476" s="1026"/>
      <c r="I476" s="1026"/>
      <c r="J476" s="1026"/>
      <c r="K476" s="1026"/>
      <c r="L476" s="1026"/>
      <c r="M476" s="1026"/>
      <c r="N476" s="1026"/>
      <c r="O476" s="1026"/>
      <c r="P476" s="1026"/>
      <c r="Q476" s="1026"/>
      <c r="R476" s="1026"/>
      <c r="S476" s="1026"/>
      <c r="T476" s="1026"/>
      <c r="U476" s="1026"/>
      <c r="V476" s="1026"/>
      <c r="W476" s="1026"/>
      <c r="X476" s="1026"/>
      <c r="Y476" s="1026"/>
      <c r="Z476" s="1026"/>
    </row>
    <row r="477" spans="1:26">
      <c r="A477" s="1026"/>
      <c r="B477" s="1026"/>
      <c r="C477" s="1026"/>
      <c r="D477" s="1026"/>
      <c r="E477" s="1026"/>
      <c r="F477" s="1026"/>
      <c r="G477" s="1026"/>
      <c r="H477" s="1026"/>
      <c r="I477" s="1026"/>
      <c r="J477" s="1026"/>
      <c r="K477" s="1026"/>
      <c r="L477" s="1026"/>
      <c r="M477" s="1026"/>
      <c r="N477" s="1026"/>
      <c r="O477" s="1026"/>
      <c r="P477" s="1026"/>
      <c r="Q477" s="1026"/>
      <c r="R477" s="1026"/>
      <c r="S477" s="1026"/>
      <c r="T477" s="1026"/>
      <c r="U477" s="1026"/>
      <c r="V477" s="1026"/>
      <c r="W477" s="1026"/>
      <c r="X477" s="1026"/>
      <c r="Y477" s="1026"/>
      <c r="Z477" s="1026"/>
    </row>
    <row r="478" spans="1:26">
      <c r="A478" s="1026"/>
      <c r="B478" s="1026"/>
      <c r="C478" s="1026"/>
      <c r="D478" s="1026"/>
      <c r="E478" s="1026"/>
      <c r="F478" s="1026"/>
      <c r="G478" s="1026"/>
      <c r="H478" s="1026"/>
      <c r="I478" s="1026"/>
      <c r="J478" s="1026"/>
      <c r="K478" s="1026"/>
      <c r="L478" s="1026"/>
      <c r="M478" s="1026"/>
      <c r="N478" s="1026"/>
      <c r="O478" s="1026"/>
      <c r="P478" s="1026"/>
      <c r="Q478" s="1026"/>
      <c r="R478" s="1026"/>
      <c r="S478" s="1026"/>
      <c r="T478" s="1026"/>
      <c r="U478" s="1026"/>
      <c r="V478" s="1026"/>
      <c r="W478" s="1026"/>
      <c r="X478" s="1026"/>
      <c r="Y478" s="1026"/>
      <c r="Z478" s="1026"/>
    </row>
    <row r="479" spans="1:26">
      <c r="A479" s="1026"/>
      <c r="B479" s="1026"/>
      <c r="C479" s="1026"/>
      <c r="D479" s="1026"/>
      <c r="E479" s="1026"/>
      <c r="F479" s="1026"/>
      <c r="G479" s="1026"/>
      <c r="H479" s="1026"/>
      <c r="I479" s="1026"/>
      <c r="J479" s="1026"/>
      <c r="K479" s="1026"/>
      <c r="L479" s="1026"/>
      <c r="M479" s="1026"/>
      <c r="N479" s="1026"/>
      <c r="O479" s="1026"/>
      <c r="P479" s="1026"/>
      <c r="Q479" s="1026"/>
      <c r="R479" s="1026"/>
      <c r="S479" s="1026"/>
      <c r="T479" s="1026"/>
      <c r="U479" s="1026"/>
      <c r="V479" s="1026"/>
      <c r="W479" s="1026"/>
      <c r="X479" s="1026"/>
      <c r="Y479" s="1026"/>
      <c r="Z479" s="1026"/>
    </row>
    <row r="480" spans="1:26">
      <c r="A480" s="1026"/>
      <c r="B480" s="1026"/>
      <c r="C480" s="1026"/>
      <c r="D480" s="1026"/>
      <c r="E480" s="1026"/>
      <c r="F480" s="1026"/>
      <c r="G480" s="1026"/>
      <c r="H480" s="1026"/>
      <c r="I480" s="1026"/>
      <c r="J480" s="1026"/>
      <c r="K480" s="1026"/>
      <c r="L480" s="1026"/>
      <c r="M480" s="1026"/>
      <c r="N480" s="1026"/>
      <c r="O480" s="1026"/>
      <c r="P480" s="1026"/>
      <c r="Q480" s="1026"/>
      <c r="R480" s="1026"/>
      <c r="S480" s="1026"/>
      <c r="T480" s="1026"/>
      <c r="U480" s="1026"/>
      <c r="V480" s="1026"/>
      <c r="W480" s="1026"/>
      <c r="X480" s="1026"/>
      <c r="Y480" s="1026"/>
      <c r="Z480" s="1026"/>
    </row>
    <row r="481" spans="1:26">
      <c r="A481" s="1026"/>
      <c r="B481" s="1026"/>
      <c r="C481" s="1026"/>
      <c r="D481" s="1026"/>
      <c r="E481" s="1026"/>
      <c r="F481" s="1026"/>
      <c r="G481" s="1026"/>
      <c r="H481" s="1026"/>
      <c r="I481" s="1026"/>
      <c r="J481" s="1026"/>
      <c r="K481" s="1026"/>
      <c r="L481" s="1026"/>
      <c r="M481" s="1026"/>
      <c r="N481" s="1026"/>
      <c r="O481" s="1026"/>
      <c r="P481" s="1026"/>
      <c r="Q481" s="1026"/>
      <c r="R481" s="1026"/>
      <c r="S481" s="1026"/>
      <c r="T481" s="1026"/>
      <c r="U481" s="1026"/>
      <c r="V481" s="1026"/>
      <c r="W481" s="1026"/>
      <c r="X481" s="1026"/>
      <c r="Y481" s="1026"/>
      <c r="Z481" s="1026"/>
    </row>
    <row r="482" spans="1:26">
      <c r="A482" s="1026"/>
      <c r="B482" s="1026"/>
      <c r="C482" s="1026"/>
      <c r="D482" s="1026"/>
      <c r="E482" s="1026"/>
      <c r="F482" s="1026"/>
      <c r="G482" s="1026"/>
      <c r="H482" s="1026"/>
      <c r="I482" s="1026"/>
      <c r="J482" s="1026"/>
      <c r="K482" s="1026"/>
      <c r="L482" s="1026"/>
      <c r="M482" s="1026"/>
      <c r="N482" s="1026"/>
      <c r="O482" s="1026"/>
      <c r="P482" s="1026"/>
      <c r="Q482" s="1026"/>
      <c r="R482" s="1026"/>
      <c r="S482" s="1026"/>
      <c r="T482" s="1026"/>
      <c r="U482" s="1026"/>
      <c r="V482" s="1026"/>
      <c r="W482" s="1026"/>
      <c r="X482" s="1026"/>
      <c r="Y482" s="1026"/>
      <c r="Z482" s="1026"/>
    </row>
    <row r="483" spans="1:26">
      <c r="A483" s="1026"/>
      <c r="B483" s="1026"/>
      <c r="C483" s="1026"/>
      <c r="D483" s="1026"/>
      <c r="E483" s="1026"/>
      <c r="F483" s="1026"/>
      <c r="G483" s="1026"/>
      <c r="H483" s="1026"/>
      <c r="I483" s="1026"/>
      <c r="J483" s="1026"/>
      <c r="K483" s="1026"/>
      <c r="L483" s="1026"/>
      <c r="M483" s="1026"/>
      <c r="N483" s="1026"/>
      <c r="O483" s="1026"/>
      <c r="P483" s="1026"/>
      <c r="Q483" s="1026"/>
      <c r="R483" s="1026"/>
      <c r="S483" s="1026"/>
      <c r="T483" s="1026"/>
      <c r="U483" s="1026"/>
      <c r="V483" s="1026"/>
      <c r="W483" s="1026"/>
      <c r="X483" s="1026"/>
      <c r="Y483" s="1026"/>
      <c r="Z483" s="1026"/>
    </row>
    <row r="484" spans="1:26">
      <c r="A484" s="1026"/>
      <c r="B484" s="1026"/>
      <c r="C484" s="1026"/>
      <c r="D484" s="1026"/>
      <c r="E484" s="1026"/>
      <c r="F484" s="1026"/>
      <c r="G484" s="1026"/>
      <c r="H484" s="1026"/>
      <c r="I484" s="1026"/>
      <c r="J484" s="1026"/>
      <c r="K484" s="1026"/>
      <c r="L484" s="1026"/>
      <c r="M484" s="1026"/>
      <c r="N484" s="1026"/>
      <c r="O484" s="1026"/>
      <c r="P484" s="1026"/>
      <c r="Q484" s="1026"/>
      <c r="R484" s="1026"/>
      <c r="S484" s="1026"/>
      <c r="T484" s="1026"/>
      <c r="U484" s="1026"/>
      <c r="V484" s="1026"/>
      <c r="W484" s="1026"/>
      <c r="X484" s="1026"/>
      <c r="Y484" s="1026"/>
      <c r="Z484" s="1026"/>
    </row>
    <row r="485" spans="1:26">
      <c r="A485" s="1026"/>
      <c r="B485" s="1026"/>
      <c r="C485" s="1026"/>
      <c r="D485" s="1026"/>
      <c r="E485" s="1026"/>
      <c r="F485" s="1026"/>
      <c r="G485" s="1026"/>
      <c r="H485" s="1026"/>
      <c r="I485" s="1026"/>
      <c r="J485" s="1026"/>
      <c r="K485" s="1026"/>
      <c r="L485" s="1026"/>
      <c r="M485" s="1026"/>
      <c r="N485" s="1026"/>
      <c r="O485" s="1026"/>
      <c r="P485" s="1026"/>
      <c r="Q485" s="1026"/>
      <c r="R485" s="1026"/>
      <c r="S485" s="1026"/>
      <c r="T485" s="1026"/>
      <c r="U485" s="1026"/>
      <c r="V485" s="1026"/>
      <c r="W485" s="1026"/>
      <c r="X485" s="1026"/>
      <c r="Y485" s="1026"/>
      <c r="Z485" s="1026"/>
    </row>
    <row r="486" spans="1:26">
      <c r="A486" s="1026"/>
      <c r="B486" s="1026"/>
      <c r="C486" s="1026"/>
      <c r="D486" s="1026"/>
      <c r="E486" s="1026"/>
      <c r="F486" s="1026"/>
      <c r="G486" s="1026"/>
      <c r="H486" s="1026"/>
      <c r="I486" s="1026"/>
      <c r="J486" s="1026"/>
      <c r="K486" s="1026"/>
      <c r="L486" s="1026"/>
      <c r="M486" s="1026"/>
      <c r="N486" s="1026"/>
      <c r="O486" s="1026"/>
      <c r="P486" s="1026"/>
      <c r="Q486" s="1026"/>
      <c r="R486" s="1026"/>
      <c r="S486" s="1026"/>
      <c r="T486" s="1026"/>
      <c r="U486" s="1026"/>
      <c r="V486" s="1026"/>
      <c r="W486" s="1026"/>
      <c r="X486" s="1026"/>
      <c r="Y486" s="1026"/>
      <c r="Z486" s="1026"/>
    </row>
    <row r="487" spans="1:26">
      <c r="A487" s="1026"/>
      <c r="B487" s="1026"/>
      <c r="C487" s="1026"/>
      <c r="D487" s="1026"/>
      <c r="E487" s="1026"/>
      <c r="F487" s="1026"/>
      <c r="G487" s="1026"/>
      <c r="H487" s="1026"/>
      <c r="I487" s="1026"/>
      <c r="J487" s="1026"/>
      <c r="K487" s="1026"/>
      <c r="L487" s="1026"/>
      <c r="M487" s="1026"/>
      <c r="N487" s="1026"/>
      <c r="O487" s="1026"/>
      <c r="P487" s="1026"/>
      <c r="Q487" s="1026"/>
      <c r="R487" s="1026"/>
      <c r="S487" s="1026"/>
      <c r="T487" s="1026"/>
      <c r="U487" s="1026"/>
      <c r="V487" s="1026"/>
      <c r="W487" s="1026"/>
      <c r="X487" s="1026"/>
      <c r="Y487" s="1026"/>
      <c r="Z487" s="1026"/>
    </row>
    <row r="488" spans="1:26">
      <c r="A488" s="1026"/>
      <c r="B488" s="1026"/>
      <c r="C488" s="1026"/>
      <c r="D488" s="1026"/>
      <c r="E488" s="1026"/>
      <c r="F488" s="1026"/>
      <c r="G488" s="1026"/>
      <c r="H488" s="1026"/>
      <c r="I488" s="1026"/>
      <c r="J488" s="1026"/>
      <c r="K488" s="1026"/>
      <c r="L488" s="1026"/>
      <c r="M488" s="1026"/>
      <c r="N488" s="1026"/>
      <c r="O488" s="1026"/>
      <c r="P488" s="1026"/>
      <c r="Q488" s="1026"/>
      <c r="R488" s="1026"/>
      <c r="S488" s="1026"/>
      <c r="T488" s="1026"/>
      <c r="U488" s="1026"/>
      <c r="V488" s="1026"/>
      <c r="W488" s="1026"/>
      <c r="X488" s="1026"/>
      <c r="Y488" s="1026"/>
      <c r="Z488" s="1026"/>
    </row>
    <row r="489" spans="1:26">
      <c r="A489" s="1026"/>
      <c r="B489" s="1026"/>
      <c r="C489" s="1026"/>
      <c r="D489" s="1026"/>
      <c r="E489" s="1026"/>
      <c r="F489" s="1026"/>
      <c r="G489" s="1026"/>
      <c r="H489" s="1026"/>
      <c r="I489" s="1026"/>
      <c r="J489" s="1026"/>
      <c r="K489" s="1026"/>
      <c r="L489" s="1026"/>
      <c r="M489" s="1026"/>
      <c r="N489" s="1026"/>
      <c r="O489" s="1026"/>
      <c r="P489" s="1026"/>
      <c r="Q489" s="1026"/>
      <c r="R489" s="1026"/>
      <c r="S489" s="1026"/>
      <c r="T489" s="1026"/>
      <c r="U489" s="1026"/>
      <c r="V489" s="1026"/>
      <c r="W489" s="1026"/>
      <c r="X489" s="1026"/>
      <c r="Y489" s="1026"/>
      <c r="Z489" s="1026"/>
    </row>
    <row r="490" spans="1:26">
      <c r="A490" s="1026"/>
      <c r="B490" s="1026"/>
      <c r="C490" s="1026"/>
      <c r="D490" s="1026"/>
      <c r="E490" s="1026"/>
      <c r="F490" s="1026"/>
      <c r="G490" s="1026"/>
      <c r="H490" s="1026"/>
      <c r="I490" s="1026"/>
      <c r="J490" s="1026"/>
      <c r="K490" s="1026"/>
      <c r="L490" s="1026"/>
      <c r="M490" s="1026"/>
      <c r="N490" s="1026"/>
      <c r="O490" s="1026"/>
      <c r="P490" s="1026"/>
      <c r="Q490" s="1026"/>
      <c r="R490" s="1026"/>
      <c r="S490" s="1026"/>
      <c r="T490" s="1026"/>
      <c r="U490" s="1026"/>
      <c r="V490" s="1026"/>
      <c r="W490" s="1026"/>
      <c r="X490" s="1026"/>
      <c r="Y490" s="1026"/>
      <c r="Z490" s="1026"/>
    </row>
    <row r="491" spans="1:26">
      <c r="A491" s="1026"/>
      <c r="B491" s="1026"/>
      <c r="C491" s="1026"/>
      <c r="D491" s="1026"/>
      <c r="E491" s="1026"/>
      <c r="F491" s="1026"/>
      <c r="G491" s="1026"/>
      <c r="H491" s="1026"/>
      <c r="I491" s="1026"/>
      <c r="J491" s="1026"/>
      <c r="K491" s="1026"/>
      <c r="L491" s="1026"/>
      <c r="M491" s="1026"/>
      <c r="N491" s="1026"/>
      <c r="O491" s="1026"/>
      <c r="P491" s="1026"/>
      <c r="Q491" s="1026"/>
      <c r="R491" s="1026"/>
      <c r="S491" s="1026"/>
      <c r="T491" s="1026"/>
      <c r="U491" s="1026"/>
      <c r="V491" s="1026"/>
      <c r="W491" s="1026"/>
      <c r="X491" s="1026"/>
      <c r="Y491" s="1026"/>
      <c r="Z491" s="1026"/>
    </row>
    <row r="492" spans="1:26">
      <c r="A492" s="1026"/>
      <c r="B492" s="1026"/>
      <c r="C492" s="1026"/>
      <c r="D492" s="1026"/>
      <c r="E492" s="1026"/>
      <c r="F492" s="1026"/>
      <c r="G492" s="1026"/>
      <c r="H492" s="1026"/>
      <c r="I492" s="1026"/>
      <c r="J492" s="1026"/>
      <c r="K492" s="1026"/>
      <c r="L492" s="1026"/>
      <c r="M492" s="1026"/>
      <c r="N492" s="1026"/>
      <c r="O492" s="1026"/>
      <c r="P492" s="1026"/>
      <c r="Q492" s="1026"/>
      <c r="R492" s="1026"/>
      <c r="S492" s="1026"/>
      <c r="T492" s="1026"/>
      <c r="U492" s="1026"/>
      <c r="V492" s="1026"/>
      <c r="W492" s="1026"/>
      <c r="X492" s="1026"/>
      <c r="Y492" s="1026"/>
      <c r="Z492" s="1026"/>
    </row>
    <row r="493" spans="1:26">
      <c r="A493" s="1026"/>
      <c r="B493" s="1026"/>
      <c r="C493" s="1026"/>
      <c r="D493" s="1026"/>
      <c r="E493" s="1026"/>
      <c r="F493" s="1026"/>
      <c r="G493" s="1026"/>
      <c r="H493" s="1026"/>
      <c r="I493" s="1026"/>
      <c r="J493" s="1026"/>
      <c r="K493" s="1026"/>
      <c r="L493" s="1026"/>
      <c r="M493" s="1026"/>
      <c r="N493" s="1026"/>
      <c r="O493" s="1026"/>
      <c r="P493" s="1026"/>
      <c r="Q493" s="1026"/>
      <c r="R493" s="1026"/>
      <c r="S493" s="1026"/>
      <c r="T493" s="1026"/>
      <c r="U493" s="1026"/>
      <c r="V493" s="1026"/>
      <c r="W493" s="1026"/>
      <c r="X493" s="1026"/>
      <c r="Y493" s="1026"/>
      <c r="Z493" s="1026"/>
    </row>
    <row r="494" spans="1:26">
      <c r="A494" s="1026"/>
      <c r="B494" s="1026"/>
      <c r="C494" s="1026"/>
      <c r="D494" s="1026"/>
      <c r="E494" s="1026"/>
      <c r="F494" s="1026"/>
      <c r="G494" s="1026"/>
      <c r="H494" s="1026"/>
      <c r="I494" s="1026"/>
      <c r="J494" s="1026"/>
      <c r="K494" s="1026"/>
      <c r="L494" s="1026"/>
      <c r="M494" s="1026"/>
      <c r="N494" s="1026"/>
      <c r="O494" s="1026"/>
      <c r="P494" s="1026"/>
      <c r="Q494" s="1026"/>
      <c r="R494" s="1026"/>
      <c r="S494" s="1026"/>
      <c r="T494" s="1026"/>
      <c r="U494" s="1026"/>
      <c r="V494" s="1026"/>
      <c r="W494" s="1026"/>
      <c r="X494" s="1026"/>
      <c r="Y494" s="1026"/>
      <c r="Z494" s="1026"/>
    </row>
    <row r="495" spans="1:26">
      <c r="A495" s="1026"/>
      <c r="B495" s="1026"/>
      <c r="C495" s="1026"/>
      <c r="D495" s="1026"/>
      <c r="E495" s="1026"/>
      <c r="F495" s="1026"/>
      <c r="G495" s="1026"/>
      <c r="H495" s="1026"/>
      <c r="I495" s="1026"/>
      <c r="J495" s="1026"/>
      <c r="K495" s="1026"/>
      <c r="L495" s="1026"/>
      <c r="M495" s="1026"/>
      <c r="N495" s="1026"/>
      <c r="O495" s="1026"/>
      <c r="P495" s="1026"/>
      <c r="Q495" s="1026"/>
      <c r="R495" s="1026"/>
      <c r="S495" s="1026"/>
      <c r="T495" s="1026"/>
      <c r="U495" s="1026"/>
      <c r="V495" s="1026"/>
      <c r="W495" s="1026"/>
      <c r="X495" s="1026"/>
      <c r="Y495" s="1026"/>
      <c r="Z495" s="1026"/>
    </row>
    <row r="496" spans="1:26">
      <c r="A496" s="1026"/>
      <c r="B496" s="1026"/>
      <c r="C496" s="1026"/>
      <c r="D496" s="1026"/>
      <c r="E496" s="1026"/>
      <c r="F496" s="1026"/>
      <c r="G496" s="1026"/>
      <c r="H496" s="1026"/>
      <c r="I496" s="1026"/>
      <c r="J496" s="1026"/>
      <c r="K496" s="1026"/>
      <c r="L496" s="1026"/>
      <c r="M496" s="1026"/>
      <c r="N496" s="1026"/>
      <c r="O496" s="1026"/>
      <c r="P496" s="1026"/>
      <c r="Q496" s="1026"/>
      <c r="R496" s="1026"/>
      <c r="S496" s="1026"/>
      <c r="T496" s="1026"/>
      <c r="U496" s="1026"/>
      <c r="V496" s="1026"/>
      <c r="W496" s="1026"/>
      <c r="X496" s="1026"/>
      <c r="Y496" s="1026"/>
      <c r="Z496" s="1026"/>
    </row>
    <row r="497" spans="1:26">
      <c r="A497" s="1026"/>
      <c r="B497" s="1026"/>
      <c r="C497" s="1026"/>
      <c r="D497" s="1026"/>
      <c r="E497" s="1026"/>
      <c r="F497" s="1026"/>
      <c r="G497" s="1026"/>
      <c r="H497" s="1026"/>
      <c r="I497" s="1026"/>
      <c r="J497" s="1026"/>
      <c r="K497" s="1026"/>
      <c r="L497" s="1026"/>
      <c r="M497" s="1026"/>
      <c r="N497" s="1026"/>
      <c r="O497" s="1026"/>
      <c r="P497" s="1026"/>
      <c r="Q497" s="1026"/>
      <c r="R497" s="1026"/>
      <c r="S497" s="1026"/>
      <c r="T497" s="1026"/>
      <c r="U497" s="1026"/>
      <c r="V497" s="1026"/>
      <c r="W497" s="1026"/>
      <c r="X497" s="1026"/>
      <c r="Y497" s="1026"/>
      <c r="Z497" s="1026"/>
    </row>
    <row r="498" spans="1:26">
      <c r="A498" s="1026"/>
      <c r="B498" s="1026"/>
      <c r="C498" s="1026"/>
      <c r="D498" s="1026"/>
      <c r="E498" s="1026"/>
      <c r="F498" s="1026"/>
      <c r="G498" s="1026"/>
      <c r="H498" s="1026"/>
      <c r="I498" s="1026"/>
      <c r="J498" s="1026"/>
      <c r="K498" s="1026"/>
      <c r="L498" s="1026"/>
      <c r="M498" s="1026"/>
      <c r="N498" s="1026"/>
      <c r="O498" s="1026"/>
      <c r="P498" s="1026"/>
      <c r="Q498" s="1026"/>
      <c r="R498" s="1026"/>
      <c r="S498" s="1026"/>
      <c r="T498" s="1026"/>
      <c r="U498" s="1026"/>
      <c r="V498" s="1026"/>
      <c r="W498" s="1026"/>
      <c r="X498" s="1026"/>
      <c r="Y498" s="1026"/>
      <c r="Z498" s="1026"/>
    </row>
    <row r="499" spans="1:26">
      <c r="A499" s="1026"/>
      <c r="B499" s="1026"/>
      <c r="C499" s="1026"/>
      <c r="D499" s="1026"/>
      <c r="E499" s="1026"/>
      <c r="F499" s="1026"/>
      <c r="G499" s="1026"/>
      <c r="H499" s="1026"/>
      <c r="I499" s="1026"/>
      <c r="J499" s="1026"/>
      <c r="K499" s="1026"/>
      <c r="L499" s="1026"/>
      <c r="M499" s="1026"/>
      <c r="N499" s="1026"/>
      <c r="O499" s="1026"/>
      <c r="P499" s="1026"/>
      <c r="Q499" s="1026"/>
      <c r="R499" s="1026"/>
      <c r="S499" s="1026"/>
      <c r="T499" s="1026"/>
      <c r="U499" s="1026"/>
      <c r="V499" s="1026"/>
      <c r="W499" s="1026"/>
      <c r="X499" s="1026"/>
      <c r="Y499" s="1026"/>
      <c r="Z499" s="1026"/>
    </row>
    <row r="500" spans="1:26">
      <c r="A500" s="1026"/>
      <c r="B500" s="1026"/>
      <c r="C500" s="1026"/>
      <c r="D500" s="1026"/>
      <c r="E500" s="1026"/>
      <c r="F500" s="1026"/>
      <c r="G500" s="1026"/>
      <c r="H500" s="1026"/>
      <c r="I500" s="1026"/>
      <c r="J500" s="1026"/>
      <c r="K500" s="1026"/>
      <c r="L500" s="1026"/>
      <c r="M500" s="1026"/>
      <c r="N500" s="1026"/>
      <c r="O500" s="1026"/>
      <c r="P500" s="1026"/>
      <c r="Q500" s="1026"/>
      <c r="R500" s="1026"/>
      <c r="S500" s="1026"/>
      <c r="T500" s="1026"/>
      <c r="U500" s="1026"/>
      <c r="V500" s="1026"/>
      <c r="W500" s="1026"/>
      <c r="X500" s="1026"/>
      <c r="Y500" s="1026"/>
      <c r="Z500" s="1026"/>
    </row>
    <row r="501" spans="1:26">
      <c r="A501" s="1026"/>
      <c r="B501" s="1026"/>
      <c r="C501" s="1026"/>
      <c r="D501" s="1026"/>
      <c r="E501" s="1026"/>
      <c r="F501" s="1026"/>
      <c r="G501" s="1026"/>
      <c r="H501" s="1026"/>
      <c r="I501" s="1026"/>
      <c r="J501" s="1026"/>
      <c r="K501" s="1026"/>
      <c r="L501" s="1026"/>
      <c r="M501" s="1026"/>
      <c r="N501" s="1026"/>
      <c r="O501" s="1026"/>
      <c r="P501" s="1026"/>
      <c r="Q501" s="1026"/>
      <c r="R501" s="1026"/>
      <c r="S501" s="1026"/>
      <c r="T501" s="1026"/>
      <c r="U501" s="1026"/>
      <c r="V501" s="1026"/>
      <c r="W501" s="1026"/>
      <c r="X501" s="1026"/>
      <c r="Y501" s="1026"/>
      <c r="Z501" s="1026"/>
    </row>
    <row r="502" spans="1:26">
      <c r="A502" s="1026"/>
      <c r="B502" s="1026"/>
      <c r="C502" s="1026"/>
      <c r="D502" s="1026"/>
      <c r="E502" s="1026"/>
      <c r="F502" s="1026"/>
      <c r="G502" s="1026"/>
      <c r="H502" s="1026"/>
      <c r="I502" s="1026"/>
      <c r="J502" s="1026"/>
      <c r="K502" s="1026"/>
      <c r="L502" s="1026"/>
      <c r="M502" s="1026"/>
      <c r="N502" s="1026"/>
      <c r="O502" s="1026"/>
      <c r="P502" s="1026"/>
      <c r="Q502" s="1026"/>
      <c r="R502" s="1026"/>
      <c r="S502" s="1026"/>
      <c r="T502" s="1026"/>
      <c r="U502" s="1026"/>
      <c r="V502" s="1026"/>
      <c r="W502" s="1026"/>
      <c r="X502" s="1026"/>
      <c r="Y502" s="1026"/>
      <c r="Z502" s="1026"/>
    </row>
    <row r="503" spans="1:26">
      <c r="A503" s="1026"/>
      <c r="B503" s="1026"/>
      <c r="C503" s="1026"/>
      <c r="D503" s="1026"/>
      <c r="E503" s="1026"/>
      <c r="F503" s="1026"/>
      <c r="G503" s="1026"/>
      <c r="H503" s="1026"/>
      <c r="I503" s="1026"/>
      <c r="J503" s="1026"/>
      <c r="K503" s="1026"/>
      <c r="L503" s="1026"/>
      <c r="M503" s="1026"/>
      <c r="N503" s="1026"/>
      <c r="O503" s="1026"/>
      <c r="P503" s="1026"/>
      <c r="Q503" s="1026"/>
      <c r="R503" s="1026"/>
      <c r="S503" s="1026"/>
      <c r="T503" s="1026"/>
      <c r="U503" s="1026"/>
      <c r="V503" s="1026"/>
      <c r="W503" s="1026"/>
      <c r="X503" s="1026"/>
      <c r="Y503" s="1026"/>
      <c r="Z503" s="1026"/>
    </row>
    <row r="504" spans="1:26">
      <c r="A504" s="1026"/>
      <c r="B504" s="1026"/>
      <c r="C504" s="1026"/>
      <c r="D504" s="1026"/>
      <c r="E504" s="1026"/>
      <c r="F504" s="1026"/>
      <c r="G504" s="1026"/>
      <c r="H504" s="1026"/>
      <c r="I504" s="1026"/>
      <c r="J504" s="1026"/>
      <c r="K504" s="1026"/>
      <c r="L504" s="1026"/>
      <c r="M504" s="1026"/>
      <c r="N504" s="1026"/>
      <c r="O504" s="1026"/>
      <c r="P504" s="1026"/>
      <c r="Q504" s="1026"/>
      <c r="R504" s="1026"/>
      <c r="S504" s="1026"/>
      <c r="T504" s="1026"/>
      <c r="U504" s="1026"/>
      <c r="V504" s="1026"/>
      <c r="W504" s="1026"/>
      <c r="X504" s="1026"/>
      <c r="Y504" s="1026"/>
      <c r="Z504" s="1026"/>
    </row>
    <row r="505" spans="1:26">
      <c r="A505" s="1026"/>
      <c r="B505" s="1026"/>
      <c r="C505" s="1026"/>
      <c r="D505" s="1026"/>
      <c r="E505" s="1026"/>
      <c r="F505" s="1026"/>
      <c r="G505" s="1026"/>
      <c r="H505" s="1026"/>
      <c r="I505" s="1026"/>
      <c r="J505" s="1026"/>
      <c r="K505" s="1026"/>
      <c r="L505" s="1026"/>
      <c r="M505" s="1026"/>
      <c r="N505" s="1026"/>
      <c r="O505" s="1026"/>
      <c r="P505" s="1026"/>
      <c r="Q505" s="1026"/>
      <c r="R505" s="1026"/>
      <c r="S505" s="1026"/>
      <c r="T505" s="1026"/>
      <c r="U505" s="1026"/>
      <c r="V505" s="1026"/>
      <c r="W505" s="1026"/>
      <c r="X505" s="1026"/>
      <c r="Y505" s="1026"/>
      <c r="Z505" s="1026"/>
    </row>
    <row r="506" spans="1:26">
      <c r="A506" s="1026"/>
      <c r="B506" s="1026"/>
      <c r="C506" s="1026"/>
      <c r="D506" s="1026"/>
      <c r="E506" s="1026"/>
      <c r="F506" s="1026"/>
      <c r="G506" s="1026"/>
      <c r="H506" s="1026"/>
      <c r="I506" s="1026"/>
      <c r="J506" s="1026"/>
      <c r="K506" s="1026"/>
      <c r="L506" s="1026"/>
      <c r="M506" s="1026"/>
      <c r="N506" s="1026"/>
      <c r="O506" s="1026"/>
      <c r="P506" s="1026"/>
      <c r="Q506" s="1026"/>
      <c r="R506" s="1026"/>
      <c r="S506" s="1026"/>
      <c r="T506" s="1026"/>
      <c r="U506" s="1026"/>
      <c r="V506" s="1026"/>
      <c r="W506" s="1026"/>
      <c r="X506" s="1026"/>
      <c r="Y506" s="1026"/>
      <c r="Z506" s="1026"/>
    </row>
    <row r="507" spans="1:26">
      <c r="A507" s="1026"/>
      <c r="B507" s="1026"/>
      <c r="C507" s="1026"/>
      <c r="D507" s="1026"/>
      <c r="E507" s="1026"/>
      <c r="F507" s="1026"/>
      <c r="G507" s="1026"/>
      <c r="H507" s="1026"/>
      <c r="I507" s="1026"/>
      <c r="J507" s="1026"/>
      <c r="K507" s="1026"/>
      <c r="L507" s="1026"/>
      <c r="M507" s="1026"/>
      <c r="N507" s="1026"/>
      <c r="O507" s="1026"/>
      <c r="P507" s="1026"/>
      <c r="Q507" s="1026"/>
      <c r="R507" s="1026"/>
      <c r="S507" s="1026"/>
      <c r="T507" s="1026"/>
      <c r="U507" s="1026"/>
      <c r="V507" s="1026"/>
      <c r="W507" s="1026"/>
      <c r="X507" s="1026"/>
      <c r="Y507" s="1026"/>
      <c r="Z507" s="1026"/>
    </row>
    <row r="508" spans="1:26">
      <c r="A508" s="1026"/>
      <c r="B508" s="1026"/>
      <c r="C508" s="1026"/>
      <c r="D508" s="1026"/>
      <c r="E508" s="1026"/>
      <c r="F508" s="1026"/>
      <c r="G508" s="1026"/>
      <c r="H508" s="1026"/>
      <c r="I508" s="1026"/>
      <c r="J508" s="1026"/>
      <c r="K508" s="1026"/>
      <c r="L508" s="1026"/>
      <c r="M508" s="1026"/>
      <c r="N508" s="1026"/>
      <c r="O508" s="1026"/>
      <c r="P508" s="1026"/>
      <c r="Q508" s="1026"/>
      <c r="R508" s="1026"/>
      <c r="S508" s="1026"/>
      <c r="T508" s="1026"/>
      <c r="U508" s="1026"/>
      <c r="V508" s="1026"/>
      <c r="W508" s="1026"/>
      <c r="X508" s="1026"/>
      <c r="Y508" s="1026"/>
      <c r="Z508" s="1026"/>
    </row>
    <row r="509" spans="1:26">
      <c r="A509" s="1026"/>
      <c r="B509" s="1026"/>
      <c r="C509" s="1026"/>
      <c r="D509" s="1026"/>
      <c r="E509" s="1026"/>
      <c r="F509" s="1026"/>
      <c r="G509" s="1026"/>
      <c r="H509" s="1026"/>
      <c r="I509" s="1026"/>
      <c r="J509" s="1026"/>
      <c r="K509" s="1026"/>
      <c r="L509" s="1026"/>
      <c r="M509" s="1026"/>
      <c r="N509" s="1026"/>
      <c r="O509" s="1026"/>
      <c r="P509" s="1026"/>
      <c r="Q509" s="1026"/>
      <c r="R509" s="1026"/>
      <c r="S509" s="1026"/>
      <c r="T509" s="1026"/>
      <c r="U509" s="1026"/>
      <c r="V509" s="1026"/>
      <c r="W509" s="1026"/>
      <c r="X509" s="1026"/>
      <c r="Y509" s="1026"/>
      <c r="Z509" s="1026"/>
    </row>
    <row r="510" spans="1:26">
      <c r="A510" s="1026"/>
      <c r="B510" s="1026"/>
      <c r="C510" s="1026"/>
      <c r="D510" s="1026"/>
      <c r="E510" s="1026"/>
      <c r="F510" s="1026"/>
      <c r="G510" s="1026"/>
      <c r="H510" s="1026"/>
      <c r="I510" s="1026"/>
      <c r="J510" s="1026"/>
      <c r="K510" s="1026"/>
      <c r="L510" s="1026"/>
      <c r="M510" s="1026"/>
      <c r="N510" s="1026"/>
      <c r="O510" s="1026"/>
      <c r="P510" s="1026"/>
      <c r="Q510" s="1026"/>
      <c r="R510" s="1026"/>
      <c r="S510" s="1026"/>
      <c r="T510" s="1026"/>
      <c r="U510" s="1026"/>
      <c r="V510" s="1026"/>
      <c r="W510" s="1026"/>
      <c r="X510" s="1026"/>
      <c r="Y510" s="1026"/>
      <c r="Z510" s="1026"/>
    </row>
    <row r="511" spans="1:26">
      <c r="A511" s="1026"/>
      <c r="B511" s="1026"/>
      <c r="C511" s="1026"/>
      <c r="D511" s="1026"/>
      <c r="E511" s="1026"/>
      <c r="F511" s="1026"/>
      <c r="G511" s="1026"/>
      <c r="H511" s="1026"/>
      <c r="I511" s="1026"/>
      <c r="J511" s="1026"/>
      <c r="K511" s="1026"/>
      <c r="L511" s="1026"/>
      <c r="M511" s="1026"/>
      <c r="N511" s="1026"/>
      <c r="O511" s="1026"/>
      <c r="P511" s="1026"/>
      <c r="Q511" s="1026"/>
      <c r="R511" s="1026"/>
      <c r="S511" s="1026"/>
      <c r="T511" s="1026"/>
      <c r="U511" s="1026"/>
      <c r="V511" s="1026"/>
      <c r="W511" s="1026"/>
      <c r="X511" s="1026"/>
      <c r="Y511" s="1026"/>
      <c r="Z511" s="1026"/>
    </row>
    <row r="512" spans="1:26">
      <c r="A512" s="1026"/>
      <c r="B512" s="1026"/>
      <c r="C512" s="1026"/>
      <c r="D512" s="1026"/>
      <c r="E512" s="1026"/>
      <c r="F512" s="1026"/>
      <c r="G512" s="1026"/>
      <c r="H512" s="1026"/>
      <c r="I512" s="1026"/>
      <c r="J512" s="1026"/>
      <c r="K512" s="1026"/>
      <c r="L512" s="1026"/>
      <c r="M512" s="1026"/>
      <c r="N512" s="1026"/>
      <c r="O512" s="1026"/>
      <c r="P512" s="1026"/>
      <c r="Q512" s="1026"/>
      <c r="R512" s="1026"/>
      <c r="S512" s="1026"/>
      <c r="T512" s="1026"/>
      <c r="U512" s="1026"/>
      <c r="V512" s="1026"/>
      <c r="W512" s="1026"/>
      <c r="X512" s="1026"/>
      <c r="Y512" s="1026"/>
      <c r="Z512" s="1026"/>
    </row>
    <row r="513" spans="1:26">
      <c r="A513" s="1026"/>
      <c r="B513" s="1026"/>
      <c r="C513" s="1026"/>
      <c r="D513" s="1026"/>
      <c r="E513" s="1026"/>
      <c r="F513" s="1026"/>
      <c r="G513" s="1026"/>
      <c r="H513" s="1026"/>
      <c r="I513" s="1026"/>
      <c r="J513" s="1026"/>
      <c r="K513" s="1026"/>
      <c r="L513" s="1026"/>
      <c r="M513" s="1026"/>
      <c r="N513" s="1026"/>
      <c r="O513" s="1026"/>
      <c r="P513" s="1026"/>
      <c r="Q513" s="1026"/>
      <c r="R513" s="1026"/>
      <c r="S513" s="1026"/>
      <c r="T513" s="1026"/>
      <c r="U513" s="1026"/>
      <c r="V513" s="1026"/>
      <c r="W513" s="1026"/>
      <c r="X513" s="1026"/>
      <c r="Y513" s="1026"/>
      <c r="Z513" s="1026"/>
    </row>
    <row r="514" spans="1:26">
      <c r="A514" s="1026"/>
      <c r="B514" s="1026"/>
      <c r="C514" s="1026"/>
      <c r="D514" s="1026"/>
      <c r="E514" s="1026"/>
      <c r="F514" s="1026"/>
      <c r="G514" s="1026"/>
      <c r="H514" s="1026"/>
      <c r="I514" s="1026"/>
      <c r="J514" s="1026"/>
      <c r="K514" s="1026"/>
      <c r="L514" s="1026"/>
      <c r="M514" s="1026"/>
      <c r="N514" s="1026"/>
      <c r="O514" s="1026"/>
      <c r="P514" s="1026"/>
      <c r="Q514" s="1026"/>
      <c r="R514" s="1026"/>
      <c r="S514" s="1026"/>
      <c r="T514" s="1026"/>
      <c r="U514" s="1026"/>
      <c r="V514" s="1026"/>
      <c r="W514" s="1026"/>
      <c r="X514" s="1026"/>
      <c r="Y514" s="1026"/>
      <c r="Z514" s="1026"/>
    </row>
    <row r="515" spans="1:26">
      <c r="A515" s="1026"/>
      <c r="B515" s="1026"/>
      <c r="C515" s="1026"/>
      <c r="D515" s="1026"/>
      <c r="E515" s="1026"/>
      <c r="F515" s="1026"/>
      <c r="G515" s="1026"/>
      <c r="H515" s="1026"/>
      <c r="I515" s="1026"/>
      <c r="J515" s="1026"/>
      <c r="K515" s="1026"/>
      <c r="L515" s="1026"/>
      <c r="M515" s="1026"/>
      <c r="N515" s="1026"/>
      <c r="O515" s="1026"/>
      <c r="P515" s="1026"/>
      <c r="Q515" s="1026"/>
      <c r="R515" s="1026"/>
      <c r="S515" s="1026"/>
      <c r="T515" s="1026"/>
      <c r="U515" s="1026"/>
      <c r="V515" s="1026"/>
      <c r="W515" s="1026"/>
      <c r="X515" s="1026"/>
      <c r="Y515" s="1026"/>
      <c r="Z515" s="1026"/>
    </row>
    <row r="516" spans="1:26">
      <c r="A516" s="1026"/>
      <c r="B516" s="1026"/>
      <c r="C516" s="1026"/>
      <c r="D516" s="1026"/>
      <c r="E516" s="1026"/>
      <c r="F516" s="1026"/>
      <c r="G516" s="1026"/>
      <c r="H516" s="1026"/>
      <c r="I516" s="1026"/>
      <c r="J516" s="1026"/>
      <c r="K516" s="1026"/>
      <c r="L516" s="1026"/>
      <c r="M516" s="1026"/>
      <c r="N516" s="1026"/>
      <c r="O516" s="1026"/>
      <c r="P516" s="1026"/>
      <c r="Q516" s="1026"/>
      <c r="R516" s="1026"/>
      <c r="S516" s="1026"/>
      <c r="T516" s="1026"/>
      <c r="U516" s="1026"/>
      <c r="V516" s="1026"/>
      <c r="W516" s="1026"/>
      <c r="X516" s="1026"/>
      <c r="Y516" s="1026"/>
      <c r="Z516" s="1026"/>
    </row>
    <row r="517" spans="1:26">
      <c r="A517" s="1026"/>
      <c r="B517" s="1026"/>
      <c r="C517" s="1026"/>
      <c r="D517" s="1026"/>
      <c r="E517" s="1026"/>
      <c r="F517" s="1026"/>
      <c r="G517" s="1026"/>
      <c r="H517" s="1026"/>
      <c r="I517" s="1026"/>
      <c r="J517" s="1026"/>
      <c r="K517" s="1026"/>
      <c r="L517" s="1026"/>
      <c r="M517" s="1026"/>
      <c r="N517" s="1026"/>
      <c r="O517" s="1026"/>
      <c r="P517" s="1026"/>
      <c r="Q517" s="1026"/>
      <c r="R517" s="1026"/>
      <c r="S517" s="1026"/>
      <c r="T517" s="1026"/>
      <c r="U517" s="1026"/>
      <c r="V517" s="1026"/>
      <c r="W517" s="1026"/>
      <c r="X517" s="1026"/>
      <c r="Y517" s="1026"/>
      <c r="Z517" s="1026"/>
    </row>
    <row r="518" spans="1:26">
      <c r="A518" s="1026"/>
      <c r="B518" s="1026"/>
      <c r="C518" s="1026"/>
      <c r="D518" s="1026"/>
      <c r="E518" s="1026"/>
      <c r="F518" s="1026"/>
      <c r="G518" s="1026"/>
      <c r="H518" s="1026"/>
      <c r="I518" s="1026"/>
      <c r="J518" s="1026"/>
      <c r="K518" s="1026"/>
      <c r="L518" s="1026"/>
      <c r="M518" s="1026"/>
      <c r="N518" s="1026"/>
      <c r="O518" s="1026"/>
      <c r="P518" s="1026"/>
      <c r="Q518" s="1026"/>
      <c r="R518" s="1026"/>
      <c r="S518" s="1026"/>
      <c r="T518" s="1026"/>
      <c r="U518" s="1026"/>
      <c r="V518" s="1026"/>
      <c r="W518" s="1026"/>
      <c r="X518" s="1026"/>
      <c r="Y518" s="1026"/>
      <c r="Z518" s="1026"/>
    </row>
    <row r="519" spans="1:26">
      <c r="A519" s="1026"/>
      <c r="B519" s="1026"/>
      <c r="C519" s="1026"/>
      <c r="D519" s="1026"/>
      <c r="E519" s="1026"/>
      <c r="F519" s="1026"/>
      <c r="G519" s="1026"/>
      <c r="H519" s="1026"/>
      <c r="I519" s="1026"/>
      <c r="J519" s="1026"/>
      <c r="K519" s="1026"/>
      <c r="L519" s="1026"/>
      <c r="M519" s="1026"/>
      <c r="N519" s="1026"/>
      <c r="O519" s="1026"/>
      <c r="P519" s="1026"/>
      <c r="Q519" s="1026"/>
      <c r="R519" s="1026"/>
      <c r="S519" s="1026"/>
      <c r="T519" s="1026"/>
      <c r="U519" s="1026"/>
      <c r="V519" s="1026"/>
      <c r="W519" s="1026"/>
      <c r="X519" s="1026"/>
      <c r="Y519" s="1026"/>
      <c r="Z519" s="1026"/>
    </row>
    <row r="520" spans="1:26">
      <c r="A520" s="1026"/>
      <c r="B520" s="1026"/>
      <c r="C520" s="1026"/>
      <c r="D520" s="1026"/>
      <c r="E520" s="1026"/>
      <c r="F520" s="1026"/>
      <c r="G520" s="1026"/>
      <c r="H520" s="1026"/>
      <c r="I520" s="1026"/>
      <c r="J520" s="1026"/>
      <c r="K520" s="1026"/>
      <c r="L520" s="1026"/>
      <c r="M520" s="1026"/>
      <c r="N520" s="1026"/>
      <c r="O520" s="1026"/>
      <c r="P520" s="1026"/>
      <c r="Q520" s="1026"/>
      <c r="R520" s="1026"/>
      <c r="S520" s="1026"/>
      <c r="T520" s="1026"/>
      <c r="U520" s="1026"/>
      <c r="V520" s="1026"/>
      <c r="W520" s="1026"/>
      <c r="X520" s="1026"/>
      <c r="Y520" s="1026"/>
      <c r="Z520" s="1026"/>
    </row>
    <row r="521" spans="1:26">
      <c r="A521" s="1026"/>
      <c r="B521" s="1026"/>
      <c r="C521" s="1026"/>
      <c r="D521" s="1026"/>
      <c r="E521" s="1026"/>
      <c r="F521" s="1026"/>
      <c r="G521" s="1026"/>
      <c r="H521" s="1026"/>
      <c r="I521" s="1026"/>
      <c r="J521" s="1026"/>
      <c r="K521" s="1026"/>
      <c r="L521" s="1026"/>
      <c r="M521" s="1026"/>
      <c r="N521" s="1026"/>
      <c r="O521" s="1026"/>
      <c r="P521" s="1026"/>
      <c r="Q521" s="1026"/>
      <c r="R521" s="1026"/>
      <c r="S521" s="1026"/>
      <c r="T521" s="1026"/>
      <c r="U521" s="1026"/>
      <c r="V521" s="1026"/>
      <c r="W521" s="1026"/>
      <c r="X521" s="1026"/>
      <c r="Y521" s="1026"/>
      <c r="Z521" s="1026"/>
    </row>
    <row r="522" spans="1:26">
      <c r="A522" s="1026"/>
      <c r="B522" s="1026"/>
      <c r="C522" s="1026"/>
      <c r="D522" s="1026"/>
      <c r="E522" s="1026"/>
      <c r="F522" s="1026"/>
      <c r="G522" s="1026"/>
      <c r="H522" s="1026"/>
      <c r="I522" s="1026"/>
      <c r="J522" s="1026"/>
      <c r="K522" s="1026"/>
      <c r="L522" s="1026"/>
      <c r="M522" s="1026"/>
      <c r="N522" s="1026"/>
      <c r="O522" s="1026"/>
      <c r="P522" s="1026"/>
      <c r="Q522" s="1026"/>
      <c r="R522" s="1026"/>
      <c r="S522" s="1026"/>
      <c r="T522" s="1026"/>
      <c r="U522" s="1026"/>
      <c r="V522" s="1026"/>
      <c r="W522" s="1026"/>
      <c r="X522" s="1026"/>
      <c r="Y522" s="1026"/>
      <c r="Z522" s="1026"/>
    </row>
    <row r="523" spans="1:26">
      <c r="A523" s="1026"/>
      <c r="B523" s="1026"/>
      <c r="C523" s="1026"/>
      <c r="D523" s="1026"/>
      <c r="E523" s="1026"/>
      <c r="F523" s="1026"/>
      <c r="G523" s="1026"/>
      <c r="H523" s="1026"/>
      <c r="I523" s="1026"/>
      <c r="J523" s="1026"/>
      <c r="K523" s="1026"/>
      <c r="L523" s="1026"/>
      <c r="M523" s="1026"/>
      <c r="N523" s="1026"/>
      <c r="O523" s="1026"/>
      <c r="P523" s="1026"/>
      <c r="Q523" s="1026"/>
      <c r="R523" s="1026"/>
      <c r="S523" s="1026"/>
      <c r="T523" s="1026"/>
      <c r="U523" s="1026"/>
      <c r="V523" s="1026"/>
      <c r="W523" s="1026"/>
      <c r="X523" s="1026"/>
      <c r="Y523" s="1026"/>
      <c r="Z523" s="1026"/>
    </row>
    <row r="524" spans="1:26">
      <c r="A524" s="1026"/>
      <c r="B524" s="1026"/>
      <c r="C524" s="1026"/>
      <c r="D524" s="1026"/>
      <c r="E524" s="1026"/>
      <c r="F524" s="1026"/>
      <c r="G524" s="1026"/>
      <c r="H524" s="1026"/>
      <c r="I524" s="1026"/>
      <c r="J524" s="1026"/>
      <c r="K524" s="1026"/>
      <c r="L524" s="1026"/>
      <c r="M524" s="1026"/>
      <c r="N524" s="1026"/>
      <c r="O524" s="1026"/>
      <c r="P524" s="1026"/>
      <c r="Q524" s="1026"/>
      <c r="R524" s="1026"/>
      <c r="S524" s="1026"/>
      <c r="T524" s="1026"/>
      <c r="U524" s="1026"/>
      <c r="V524" s="1026"/>
      <c r="W524" s="1026"/>
      <c r="X524" s="1026"/>
      <c r="Y524" s="1026"/>
      <c r="Z524" s="1026"/>
    </row>
    <row r="525" spans="1:26">
      <c r="A525" s="1026"/>
      <c r="B525" s="1026"/>
      <c r="C525" s="1026"/>
      <c r="D525" s="1026"/>
      <c r="E525" s="1026"/>
      <c r="F525" s="1026"/>
      <c r="G525" s="1026"/>
      <c r="H525" s="1026"/>
      <c r="I525" s="1026"/>
      <c r="J525" s="1026"/>
      <c r="K525" s="1026"/>
      <c r="L525" s="1026"/>
      <c r="M525" s="1026"/>
      <c r="N525" s="1026"/>
      <c r="O525" s="1026"/>
      <c r="P525" s="1026"/>
      <c r="Q525" s="1026"/>
      <c r="R525" s="1026"/>
      <c r="S525" s="1026"/>
      <c r="T525" s="1026"/>
      <c r="U525" s="1026"/>
      <c r="V525" s="1026"/>
      <c r="W525" s="1026"/>
      <c r="X525" s="1026"/>
      <c r="Y525" s="1026"/>
      <c r="Z525" s="1026"/>
    </row>
    <row r="526" spans="1:26">
      <c r="A526" s="1026"/>
      <c r="B526" s="1026"/>
      <c r="C526" s="1026"/>
      <c r="D526" s="1026"/>
      <c r="E526" s="1026"/>
      <c r="F526" s="1026"/>
      <c r="G526" s="1026"/>
      <c r="H526" s="1026"/>
      <c r="I526" s="1026"/>
      <c r="J526" s="1026"/>
      <c r="K526" s="1026"/>
      <c r="L526" s="1026"/>
      <c r="M526" s="1026"/>
      <c r="N526" s="1026"/>
      <c r="O526" s="1026"/>
      <c r="P526" s="1026"/>
      <c r="Q526" s="1026"/>
      <c r="R526" s="1026"/>
      <c r="S526" s="1026"/>
      <c r="T526" s="1026"/>
      <c r="U526" s="1026"/>
      <c r="V526" s="1026"/>
      <c r="W526" s="1026"/>
      <c r="X526" s="1026"/>
      <c r="Y526" s="1026"/>
      <c r="Z526" s="1026"/>
    </row>
    <row r="527" spans="1:26">
      <c r="A527" s="1026"/>
      <c r="B527" s="1026"/>
      <c r="C527" s="1026"/>
      <c r="D527" s="1026"/>
      <c r="E527" s="1026"/>
      <c r="F527" s="1026"/>
      <c r="G527" s="1026"/>
      <c r="H527" s="1026"/>
      <c r="I527" s="1026"/>
      <c r="J527" s="1026"/>
      <c r="K527" s="1026"/>
      <c r="L527" s="1026"/>
      <c r="M527" s="1026"/>
      <c r="N527" s="1026"/>
      <c r="O527" s="1026"/>
      <c r="P527" s="1026"/>
      <c r="Q527" s="1026"/>
      <c r="R527" s="1026"/>
      <c r="S527" s="1026"/>
      <c r="T527" s="1026"/>
      <c r="U527" s="1026"/>
      <c r="V527" s="1026"/>
      <c r="W527" s="1026"/>
      <c r="X527" s="1026"/>
      <c r="Y527" s="1026"/>
      <c r="Z527" s="1026"/>
    </row>
    <row r="528" spans="1:26">
      <c r="A528" s="1026"/>
      <c r="B528" s="1026"/>
      <c r="C528" s="1026"/>
      <c r="D528" s="1026"/>
      <c r="E528" s="1026"/>
      <c r="F528" s="1026"/>
      <c r="G528" s="1026"/>
      <c r="H528" s="1026"/>
      <c r="I528" s="1026"/>
      <c r="J528" s="1026"/>
      <c r="K528" s="1026"/>
      <c r="L528" s="1026"/>
      <c r="M528" s="1026"/>
      <c r="N528" s="1026"/>
      <c r="O528" s="1026"/>
      <c r="P528" s="1026"/>
      <c r="Q528" s="1026"/>
      <c r="R528" s="1026"/>
      <c r="S528" s="1026"/>
      <c r="T528" s="1026"/>
      <c r="U528" s="1026"/>
      <c r="V528" s="1026"/>
      <c r="W528" s="1026"/>
      <c r="X528" s="1026"/>
      <c r="Y528" s="1026"/>
      <c r="Z528" s="1026"/>
    </row>
    <row r="529" spans="1:26">
      <c r="A529" s="1026"/>
      <c r="B529" s="1026"/>
      <c r="C529" s="1026"/>
      <c r="D529" s="1026"/>
      <c r="E529" s="1026"/>
      <c r="F529" s="1026"/>
      <c r="G529" s="1026"/>
      <c r="H529" s="1026"/>
      <c r="I529" s="1026"/>
      <c r="J529" s="1026"/>
      <c r="K529" s="1026"/>
      <c r="L529" s="1026"/>
      <c r="M529" s="1026"/>
      <c r="N529" s="1026"/>
      <c r="O529" s="1026"/>
      <c r="P529" s="1026"/>
      <c r="Q529" s="1026"/>
      <c r="R529" s="1026"/>
      <c r="S529" s="1026"/>
      <c r="T529" s="1026"/>
      <c r="U529" s="1026"/>
      <c r="V529" s="1026"/>
      <c r="W529" s="1026"/>
      <c r="X529" s="1026"/>
      <c r="Y529" s="1026"/>
      <c r="Z529" s="1026"/>
    </row>
    <row r="530" spans="1:26">
      <c r="A530" s="1026"/>
      <c r="B530" s="1026"/>
      <c r="C530" s="1026"/>
      <c r="D530" s="1026"/>
      <c r="E530" s="1026"/>
      <c r="F530" s="1026"/>
      <c r="G530" s="1026"/>
      <c r="H530" s="1026"/>
      <c r="I530" s="1026"/>
      <c r="J530" s="1026"/>
      <c r="K530" s="1026"/>
      <c r="L530" s="1026"/>
      <c r="M530" s="1026"/>
      <c r="N530" s="1026"/>
      <c r="O530" s="1026"/>
      <c r="P530" s="1026"/>
      <c r="Q530" s="1026"/>
      <c r="R530" s="1026"/>
      <c r="S530" s="1026"/>
      <c r="T530" s="1026"/>
      <c r="U530" s="1026"/>
      <c r="V530" s="1026"/>
      <c r="W530" s="1026"/>
      <c r="X530" s="1026"/>
      <c r="Y530" s="1026"/>
      <c r="Z530" s="1026"/>
    </row>
    <row r="531" spans="1:26">
      <c r="A531" s="1026"/>
      <c r="B531" s="1026"/>
      <c r="C531" s="1026"/>
      <c r="D531" s="1026"/>
      <c r="E531" s="1026"/>
      <c r="F531" s="1026"/>
      <c r="G531" s="1026"/>
      <c r="H531" s="1026"/>
      <c r="I531" s="1026"/>
      <c r="J531" s="1026"/>
      <c r="K531" s="1026"/>
      <c r="L531" s="1026"/>
      <c r="M531" s="1026"/>
      <c r="N531" s="1026"/>
      <c r="O531" s="1026"/>
      <c r="P531" s="1026"/>
      <c r="Q531" s="1026"/>
      <c r="R531" s="1026"/>
      <c r="S531" s="1026"/>
      <c r="T531" s="1026"/>
      <c r="U531" s="1026"/>
      <c r="V531" s="1026"/>
      <c r="W531" s="1026"/>
      <c r="X531" s="1026"/>
      <c r="Y531" s="1026"/>
      <c r="Z531" s="1026"/>
    </row>
    <row r="532" spans="1:26">
      <c r="A532" s="1026"/>
      <c r="B532" s="1026"/>
      <c r="C532" s="1026"/>
      <c r="D532" s="1026"/>
      <c r="E532" s="1026"/>
      <c r="F532" s="1026"/>
      <c r="G532" s="1026"/>
      <c r="H532" s="1026"/>
      <c r="I532" s="1026"/>
      <c r="J532" s="1026"/>
      <c r="K532" s="1026"/>
      <c r="L532" s="1026"/>
      <c r="M532" s="1026"/>
      <c r="N532" s="1026"/>
      <c r="O532" s="1026"/>
      <c r="P532" s="1026"/>
      <c r="Q532" s="1026"/>
      <c r="R532" s="1026"/>
      <c r="S532" s="1026"/>
      <c r="T532" s="1026"/>
      <c r="U532" s="1026"/>
      <c r="V532" s="1026"/>
      <c r="W532" s="1026"/>
      <c r="X532" s="1026"/>
      <c r="Y532" s="1026"/>
      <c r="Z532" s="1026"/>
    </row>
    <row r="533" spans="1:26">
      <c r="A533" s="1026"/>
      <c r="B533" s="1026"/>
      <c r="C533" s="1026"/>
      <c r="D533" s="1026"/>
      <c r="E533" s="1026"/>
      <c r="F533" s="1026"/>
      <c r="G533" s="1026"/>
      <c r="H533" s="1026"/>
      <c r="I533" s="1026"/>
      <c r="J533" s="1026"/>
      <c r="K533" s="1026"/>
      <c r="L533" s="1026"/>
      <c r="M533" s="1026"/>
      <c r="N533" s="1026"/>
      <c r="O533" s="1026"/>
      <c r="P533" s="1026"/>
      <c r="Q533" s="1026"/>
      <c r="R533" s="1026"/>
      <c r="S533" s="1026"/>
      <c r="T533" s="1026"/>
      <c r="U533" s="1026"/>
      <c r="V533" s="1026"/>
      <c r="W533" s="1026"/>
      <c r="X533" s="1026"/>
      <c r="Y533" s="1026"/>
      <c r="Z533" s="1026"/>
    </row>
    <row r="534" spans="1:26">
      <c r="A534" s="1026"/>
      <c r="B534" s="1026"/>
      <c r="C534" s="1026"/>
      <c r="D534" s="1026"/>
      <c r="E534" s="1026"/>
      <c r="F534" s="1026"/>
      <c r="G534" s="1026"/>
      <c r="H534" s="1026"/>
      <c r="I534" s="1026"/>
      <c r="J534" s="1026"/>
      <c r="K534" s="1026"/>
      <c r="L534" s="1026"/>
      <c r="M534" s="1026"/>
      <c r="N534" s="1026"/>
      <c r="O534" s="1026"/>
      <c r="P534" s="1026"/>
      <c r="Q534" s="1026"/>
      <c r="R534" s="1026"/>
      <c r="S534" s="1026"/>
      <c r="T534" s="1026"/>
      <c r="U534" s="1026"/>
      <c r="V534" s="1026"/>
      <c r="W534" s="1026"/>
      <c r="X534" s="1026"/>
      <c r="Y534" s="1026"/>
      <c r="Z534" s="1026"/>
    </row>
    <row r="535" spans="1:26">
      <c r="A535" s="1026"/>
      <c r="B535" s="1026"/>
      <c r="C535" s="1026"/>
      <c r="D535" s="1026"/>
      <c r="E535" s="1026"/>
      <c r="F535" s="1026"/>
      <c r="G535" s="1026"/>
      <c r="H535" s="1026"/>
      <c r="I535" s="1026"/>
      <c r="J535" s="1026"/>
      <c r="K535" s="1026"/>
      <c r="L535" s="1026"/>
      <c r="M535" s="1026"/>
      <c r="N535" s="1026"/>
      <c r="O535" s="1026"/>
      <c r="P535" s="1026"/>
      <c r="Q535" s="1026"/>
      <c r="R535" s="1026"/>
      <c r="S535" s="1026"/>
      <c r="T535" s="1026"/>
      <c r="U535" s="1026"/>
      <c r="V535" s="1026"/>
      <c r="W535" s="1026"/>
      <c r="X535" s="1026"/>
      <c r="Y535" s="1026"/>
      <c r="Z535" s="1026"/>
    </row>
    <row r="536" spans="1:26">
      <c r="A536" s="1026"/>
      <c r="B536" s="1026"/>
      <c r="C536" s="1026"/>
      <c r="D536" s="1026"/>
      <c r="E536" s="1026"/>
      <c r="F536" s="1026"/>
      <c r="G536" s="1026"/>
      <c r="H536" s="1026"/>
      <c r="I536" s="1026"/>
      <c r="J536" s="1026"/>
      <c r="K536" s="1026"/>
      <c r="L536" s="1026"/>
      <c r="M536" s="1026"/>
      <c r="N536" s="1026"/>
      <c r="O536" s="1026"/>
      <c r="P536" s="1026"/>
      <c r="Q536" s="1026"/>
      <c r="R536" s="1026"/>
      <c r="S536" s="1026"/>
      <c r="T536" s="1026"/>
      <c r="U536" s="1026"/>
      <c r="V536" s="1026"/>
      <c r="W536" s="1026"/>
      <c r="X536" s="1026"/>
      <c r="Y536" s="1026"/>
      <c r="Z536" s="1026"/>
    </row>
    <row r="537" spans="1:26">
      <c r="A537" s="1026"/>
      <c r="B537" s="1026"/>
      <c r="C537" s="1026"/>
      <c r="D537" s="1026"/>
      <c r="E537" s="1026"/>
      <c r="F537" s="1026"/>
      <c r="G537" s="1026"/>
      <c r="H537" s="1026"/>
      <c r="I537" s="1026"/>
      <c r="J537" s="1026"/>
      <c r="K537" s="1026"/>
      <c r="L537" s="1026"/>
      <c r="M537" s="1026"/>
      <c r="N537" s="1026"/>
      <c r="O537" s="1026"/>
      <c r="P537" s="1026"/>
      <c r="Q537" s="1026"/>
      <c r="R537" s="1026"/>
      <c r="S537" s="1026"/>
      <c r="T537" s="1026"/>
      <c r="U537" s="1026"/>
      <c r="V537" s="1026"/>
      <c r="W537" s="1026"/>
      <c r="X537" s="1026"/>
      <c r="Y537" s="1026"/>
      <c r="Z537" s="1026"/>
    </row>
    <row r="538" spans="1:26">
      <c r="A538" s="1026"/>
      <c r="B538" s="1026"/>
      <c r="C538" s="1026"/>
      <c r="D538" s="1026"/>
      <c r="E538" s="1026"/>
      <c r="F538" s="1026"/>
      <c r="G538" s="1026"/>
      <c r="H538" s="1026"/>
      <c r="I538" s="1026"/>
      <c r="J538" s="1026"/>
      <c r="K538" s="1026"/>
      <c r="L538" s="1026"/>
      <c r="M538" s="1026"/>
      <c r="N538" s="1026"/>
      <c r="O538" s="1026"/>
      <c r="P538" s="1026"/>
      <c r="Q538" s="1026"/>
      <c r="R538" s="1026"/>
      <c r="S538" s="1026"/>
      <c r="T538" s="1026"/>
      <c r="U538" s="1026"/>
      <c r="V538" s="1026"/>
      <c r="W538" s="1026"/>
      <c r="X538" s="1026"/>
      <c r="Y538" s="1026"/>
      <c r="Z538" s="1026"/>
    </row>
    <row r="539" spans="1:26">
      <c r="A539" s="1026"/>
      <c r="B539" s="1026"/>
      <c r="C539" s="1026"/>
      <c r="D539" s="1026"/>
      <c r="E539" s="1026"/>
      <c r="F539" s="1026"/>
      <c r="G539" s="1026"/>
      <c r="H539" s="1026"/>
      <c r="I539" s="1026"/>
      <c r="J539" s="1026"/>
      <c r="K539" s="1026"/>
      <c r="L539" s="1026"/>
      <c r="M539" s="1026"/>
      <c r="N539" s="1026"/>
      <c r="O539" s="1026"/>
      <c r="P539" s="1026"/>
      <c r="Q539" s="1026"/>
      <c r="R539" s="1026"/>
      <c r="S539" s="1026"/>
      <c r="T539" s="1026"/>
      <c r="U539" s="1026"/>
      <c r="V539" s="1026"/>
      <c r="W539" s="1026"/>
      <c r="X539" s="1026"/>
      <c r="Y539" s="1026"/>
      <c r="Z539" s="1026"/>
    </row>
    <row r="540" spans="1:26">
      <c r="A540" s="1026"/>
      <c r="B540" s="1026"/>
      <c r="C540" s="1026"/>
      <c r="D540" s="1026"/>
      <c r="E540" s="1026"/>
      <c r="F540" s="1026"/>
      <c r="G540" s="1026"/>
      <c r="H540" s="1026"/>
      <c r="I540" s="1026"/>
      <c r="J540" s="1026"/>
      <c r="K540" s="1026"/>
      <c r="L540" s="1026"/>
      <c r="M540" s="1026"/>
      <c r="N540" s="1026"/>
      <c r="O540" s="1026"/>
      <c r="P540" s="1026"/>
      <c r="Q540" s="1026"/>
      <c r="R540" s="1026"/>
      <c r="S540" s="1026"/>
      <c r="T540" s="1026"/>
      <c r="U540" s="1026"/>
      <c r="V540" s="1026"/>
      <c r="W540" s="1026"/>
      <c r="X540" s="1026"/>
      <c r="Y540" s="1026"/>
      <c r="Z540" s="1026"/>
    </row>
    <row r="541" spans="1:26">
      <c r="A541" s="1026"/>
      <c r="B541" s="1026"/>
      <c r="C541" s="1026"/>
      <c r="D541" s="1026"/>
      <c r="E541" s="1026"/>
      <c r="F541" s="1026"/>
      <c r="G541" s="1026"/>
      <c r="H541" s="1026"/>
      <c r="I541" s="1026"/>
      <c r="J541" s="1026"/>
      <c r="K541" s="1026"/>
      <c r="L541" s="1026"/>
      <c r="M541" s="1026"/>
      <c r="N541" s="1026"/>
      <c r="O541" s="1026"/>
      <c r="P541" s="1026"/>
      <c r="Q541" s="1026"/>
      <c r="R541" s="1026"/>
      <c r="S541" s="1026"/>
      <c r="T541" s="1026"/>
      <c r="U541" s="1026"/>
      <c r="V541" s="1026"/>
      <c r="W541" s="1026"/>
      <c r="X541" s="1026"/>
      <c r="Y541" s="1026"/>
      <c r="Z541" s="1026"/>
    </row>
    <row r="542" spans="1:26">
      <c r="A542" s="1026"/>
      <c r="B542" s="1026"/>
      <c r="C542" s="1026"/>
      <c r="D542" s="1026"/>
      <c r="E542" s="1026"/>
      <c r="F542" s="1026"/>
      <c r="G542" s="1026"/>
      <c r="H542" s="1026"/>
      <c r="I542" s="1026"/>
      <c r="J542" s="1026"/>
      <c r="K542" s="1026"/>
      <c r="L542" s="1026"/>
      <c r="M542" s="1026"/>
      <c r="N542" s="1026"/>
      <c r="O542" s="1026"/>
      <c r="P542" s="1026"/>
      <c r="Q542" s="1026"/>
      <c r="R542" s="1026"/>
      <c r="S542" s="1026"/>
      <c r="T542" s="1026"/>
      <c r="U542" s="1026"/>
      <c r="V542" s="1026"/>
      <c r="W542" s="1026"/>
      <c r="X542" s="1026"/>
      <c r="Y542" s="1026"/>
      <c r="Z542" s="1026"/>
    </row>
    <row r="543" spans="1:26">
      <c r="A543" s="1026"/>
      <c r="B543" s="1026"/>
      <c r="C543" s="1026"/>
      <c r="D543" s="1026"/>
      <c r="E543" s="1026"/>
      <c r="F543" s="1026"/>
      <c r="G543" s="1026"/>
      <c r="H543" s="1026"/>
      <c r="I543" s="1026"/>
      <c r="J543" s="1026"/>
      <c r="K543" s="1026"/>
      <c r="L543" s="1026"/>
      <c r="M543" s="1026"/>
      <c r="N543" s="1026"/>
      <c r="O543" s="1026"/>
      <c r="P543" s="1026"/>
      <c r="Q543" s="1026"/>
      <c r="R543" s="1026"/>
      <c r="S543" s="1026"/>
      <c r="T543" s="1026"/>
      <c r="U543" s="1026"/>
      <c r="V543" s="1026"/>
      <c r="W543" s="1026"/>
      <c r="X543" s="1026"/>
      <c r="Y543" s="1026"/>
      <c r="Z543" s="1026"/>
    </row>
    <row r="544" spans="1:26">
      <c r="A544" s="1026"/>
      <c r="B544" s="1026"/>
      <c r="C544" s="1026"/>
      <c r="D544" s="1026"/>
      <c r="E544" s="1026"/>
      <c r="F544" s="1026"/>
      <c r="G544" s="1026"/>
      <c r="H544" s="1026"/>
      <c r="I544" s="1026"/>
      <c r="J544" s="1026"/>
      <c r="K544" s="1026"/>
      <c r="L544" s="1026"/>
      <c r="M544" s="1026"/>
      <c r="N544" s="1026"/>
      <c r="O544" s="1026"/>
      <c r="P544" s="1026"/>
      <c r="Q544" s="1026"/>
      <c r="R544" s="1026"/>
      <c r="S544" s="1026"/>
      <c r="T544" s="1026"/>
      <c r="U544" s="1026"/>
      <c r="V544" s="1026"/>
      <c r="W544" s="1026"/>
      <c r="X544" s="1026"/>
      <c r="Y544" s="1026"/>
      <c r="Z544" s="1026"/>
    </row>
    <row r="545" spans="1:26">
      <c r="A545" s="1026"/>
      <c r="B545" s="1026"/>
      <c r="C545" s="1026"/>
      <c r="D545" s="1026"/>
      <c r="E545" s="1026"/>
      <c r="F545" s="1026"/>
      <c r="G545" s="1026"/>
      <c r="H545" s="1026"/>
      <c r="I545" s="1026"/>
      <c r="J545" s="1026"/>
      <c r="K545" s="1026"/>
      <c r="L545" s="1026"/>
      <c r="M545" s="1026"/>
      <c r="N545" s="1026"/>
      <c r="O545" s="1026"/>
      <c r="P545" s="1026"/>
      <c r="Q545" s="1026"/>
      <c r="R545" s="1026"/>
      <c r="S545" s="1026"/>
      <c r="T545" s="1026"/>
      <c r="U545" s="1026"/>
      <c r="V545" s="1026"/>
      <c r="W545" s="1026"/>
      <c r="X545" s="1026"/>
      <c r="Y545" s="1026"/>
      <c r="Z545" s="1026"/>
    </row>
    <row r="546" spans="1:26">
      <c r="A546" s="1026"/>
      <c r="B546" s="1026"/>
      <c r="C546" s="1026"/>
      <c r="D546" s="1026"/>
      <c r="E546" s="1026"/>
      <c r="F546" s="1026"/>
      <c r="G546" s="1026"/>
      <c r="H546" s="1026"/>
      <c r="I546" s="1026"/>
      <c r="J546" s="1026"/>
      <c r="K546" s="1026"/>
      <c r="L546" s="1026"/>
      <c r="M546" s="1026"/>
      <c r="N546" s="1026"/>
      <c r="O546" s="1026"/>
      <c r="P546" s="1026"/>
      <c r="Q546" s="1026"/>
      <c r="R546" s="1026"/>
      <c r="S546" s="1026"/>
      <c r="T546" s="1026"/>
      <c r="U546" s="1026"/>
      <c r="V546" s="1026"/>
      <c r="W546" s="1026"/>
      <c r="X546" s="1026"/>
      <c r="Y546" s="1026"/>
      <c r="Z546" s="1026"/>
    </row>
    <row r="547" spans="1:26">
      <c r="A547" s="1026"/>
      <c r="B547" s="1026"/>
      <c r="C547" s="1026"/>
      <c r="D547" s="1026"/>
      <c r="E547" s="1026"/>
      <c r="F547" s="1026"/>
      <c r="G547" s="1026"/>
      <c r="H547" s="1026"/>
      <c r="I547" s="1026"/>
      <c r="J547" s="1026"/>
      <c r="K547" s="1026"/>
      <c r="L547" s="1026"/>
      <c r="M547" s="1026"/>
      <c r="N547" s="1026"/>
      <c r="O547" s="1026"/>
      <c r="P547" s="1026"/>
      <c r="Q547" s="1026"/>
      <c r="R547" s="1026"/>
      <c r="S547" s="1026"/>
      <c r="T547" s="1026"/>
      <c r="U547" s="1026"/>
      <c r="V547" s="1026"/>
      <c r="W547" s="1026"/>
      <c r="X547" s="1026"/>
      <c r="Y547" s="1026"/>
      <c r="Z547" s="1026"/>
    </row>
    <row r="548" spans="1:26">
      <c r="A548" s="1026"/>
      <c r="B548" s="1026"/>
      <c r="C548" s="1026"/>
      <c r="D548" s="1026"/>
      <c r="E548" s="1026"/>
      <c r="F548" s="1026"/>
      <c r="G548" s="1026"/>
      <c r="H548" s="1026"/>
      <c r="I548" s="1026"/>
      <c r="J548" s="1026"/>
      <c r="K548" s="1026"/>
      <c r="L548" s="1026"/>
      <c r="M548" s="1026"/>
      <c r="N548" s="1026"/>
      <c r="O548" s="1026"/>
      <c r="P548" s="1026"/>
      <c r="Q548" s="1026"/>
      <c r="R548" s="1026"/>
      <c r="S548" s="1026"/>
      <c r="T548" s="1026"/>
      <c r="U548" s="1026"/>
      <c r="V548" s="1026"/>
      <c r="W548" s="1026"/>
      <c r="X548" s="1026"/>
      <c r="Y548" s="1026"/>
      <c r="Z548" s="1026"/>
    </row>
    <row r="549" spans="1:26">
      <c r="A549" s="1026"/>
      <c r="B549" s="1026"/>
      <c r="C549" s="1026"/>
      <c r="D549" s="1026"/>
      <c r="E549" s="1026"/>
      <c r="F549" s="1026"/>
      <c r="G549" s="1026"/>
      <c r="H549" s="1026"/>
      <c r="I549" s="1026"/>
      <c r="J549" s="1026"/>
      <c r="K549" s="1026"/>
      <c r="L549" s="1026"/>
      <c r="M549" s="1026"/>
      <c r="N549" s="1026"/>
      <c r="O549" s="1026"/>
      <c r="P549" s="1026"/>
      <c r="Q549" s="1026"/>
      <c r="R549" s="1026"/>
      <c r="S549" s="1026"/>
      <c r="T549" s="1026"/>
      <c r="U549" s="1026"/>
      <c r="V549" s="1026"/>
      <c r="W549" s="1026"/>
      <c r="X549" s="1026"/>
      <c r="Y549" s="1026"/>
      <c r="Z549" s="1026"/>
    </row>
    <row r="550" spans="1:26">
      <c r="A550" s="1026"/>
      <c r="B550" s="1026"/>
      <c r="C550" s="1026"/>
      <c r="D550" s="1026"/>
      <c r="E550" s="1026"/>
      <c r="F550" s="1026"/>
      <c r="G550" s="1026"/>
      <c r="H550" s="1026"/>
      <c r="I550" s="1026"/>
      <c r="J550" s="1026"/>
      <c r="K550" s="1026"/>
      <c r="L550" s="1026"/>
      <c r="M550" s="1026"/>
      <c r="N550" s="1026"/>
      <c r="O550" s="1026"/>
      <c r="P550" s="1026"/>
      <c r="Q550" s="1026"/>
      <c r="R550" s="1026"/>
      <c r="S550" s="1026"/>
      <c r="T550" s="1026"/>
      <c r="U550" s="1026"/>
      <c r="V550" s="1026"/>
      <c r="W550" s="1026"/>
      <c r="X550" s="1026"/>
      <c r="Y550" s="1026"/>
      <c r="Z550" s="1026"/>
    </row>
    <row r="551" spans="1:26">
      <c r="A551" s="1026"/>
      <c r="B551" s="1026"/>
      <c r="C551" s="1026"/>
      <c r="D551" s="1026"/>
      <c r="E551" s="1026"/>
      <c r="F551" s="1026"/>
      <c r="G551" s="1026"/>
      <c r="H551" s="1026"/>
      <c r="I551" s="1026"/>
      <c r="J551" s="1026"/>
      <c r="K551" s="1026"/>
      <c r="L551" s="1026"/>
      <c r="M551" s="1026"/>
      <c r="N551" s="1026"/>
      <c r="O551" s="1026"/>
      <c r="P551" s="1026"/>
      <c r="Q551" s="1026"/>
      <c r="R551" s="1026"/>
      <c r="S551" s="1026"/>
      <c r="T551" s="1026"/>
      <c r="U551" s="1026"/>
      <c r="V551" s="1026"/>
      <c r="W551" s="1026"/>
      <c r="X551" s="1026"/>
      <c r="Y551" s="1026"/>
      <c r="Z551" s="1026"/>
    </row>
    <row r="552" spans="1:26">
      <c r="A552" s="1026"/>
      <c r="B552" s="1026"/>
      <c r="C552" s="1026"/>
      <c r="D552" s="1026"/>
      <c r="E552" s="1026"/>
      <c r="F552" s="1026"/>
      <c r="G552" s="1026"/>
      <c r="H552" s="1026"/>
      <c r="I552" s="1026"/>
      <c r="J552" s="1026"/>
      <c r="K552" s="1026"/>
      <c r="L552" s="1026"/>
      <c r="M552" s="1026"/>
      <c r="N552" s="1026"/>
      <c r="O552" s="1026"/>
      <c r="P552" s="1026"/>
      <c r="Q552" s="1026"/>
      <c r="R552" s="1026"/>
      <c r="S552" s="1026"/>
      <c r="T552" s="1026"/>
      <c r="U552" s="1026"/>
      <c r="V552" s="1026"/>
      <c r="W552" s="1026"/>
      <c r="X552" s="1026"/>
      <c r="Y552" s="1026"/>
      <c r="Z552" s="1026"/>
    </row>
    <row r="553" spans="1:26">
      <c r="A553" s="1026"/>
      <c r="B553" s="1026"/>
      <c r="C553" s="1026"/>
      <c r="D553" s="1026"/>
      <c r="E553" s="1026"/>
      <c r="F553" s="1026"/>
      <c r="G553" s="1026"/>
      <c r="H553" s="1026"/>
      <c r="I553" s="1026"/>
      <c r="J553" s="1026"/>
      <c r="K553" s="1026"/>
      <c r="L553" s="1026"/>
      <c r="M553" s="1026"/>
      <c r="N553" s="1026"/>
      <c r="O553" s="1026"/>
      <c r="P553" s="1026"/>
      <c r="Q553" s="1026"/>
      <c r="R553" s="1026"/>
      <c r="S553" s="1026"/>
      <c r="T553" s="1026"/>
      <c r="U553" s="1026"/>
      <c r="V553" s="1026"/>
      <c r="W553" s="1026"/>
      <c r="X553" s="1026"/>
      <c r="Y553" s="1026"/>
      <c r="Z553" s="1026"/>
    </row>
    <row r="554" spans="1:26">
      <c r="A554" s="1026"/>
      <c r="B554" s="1026"/>
      <c r="C554" s="1026"/>
      <c r="D554" s="1026"/>
      <c r="E554" s="1026"/>
      <c r="F554" s="1026"/>
      <c r="G554" s="1026"/>
      <c r="H554" s="1026"/>
      <c r="I554" s="1026"/>
      <c r="J554" s="1026"/>
      <c r="K554" s="1026"/>
      <c r="L554" s="1026"/>
      <c r="M554" s="1026"/>
      <c r="N554" s="1026"/>
      <c r="O554" s="1026"/>
      <c r="P554" s="1026"/>
      <c r="Q554" s="1026"/>
      <c r="R554" s="1026"/>
      <c r="S554" s="1026"/>
      <c r="T554" s="1026"/>
      <c r="U554" s="1026"/>
      <c r="V554" s="1026"/>
      <c r="W554" s="1026"/>
      <c r="X554" s="1026"/>
      <c r="Y554" s="1026"/>
      <c r="Z554" s="1026"/>
    </row>
    <row r="555" spans="1:26">
      <c r="A555" s="1026"/>
      <c r="B555" s="1026"/>
      <c r="C555" s="1026"/>
      <c r="D555" s="1026"/>
      <c r="E555" s="1026"/>
      <c r="F555" s="1026"/>
      <c r="G555" s="1026"/>
      <c r="H555" s="1026"/>
      <c r="I555" s="1026"/>
      <c r="J555" s="1026"/>
      <c r="K555" s="1026"/>
      <c r="L555" s="1026"/>
      <c r="M555" s="1026"/>
      <c r="N555" s="1026"/>
      <c r="O555" s="1026"/>
      <c r="P555" s="1026"/>
      <c r="Q555" s="1026"/>
      <c r="R555" s="1026"/>
      <c r="S555" s="1026"/>
      <c r="T555" s="1026"/>
      <c r="U555" s="1026"/>
      <c r="V555" s="1026"/>
      <c r="W555" s="1026"/>
      <c r="X555" s="1026"/>
      <c r="Y555" s="1026"/>
      <c r="Z555" s="1026"/>
    </row>
    <row r="556" spans="1:26">
      <c r="A556" s="1026"/>
      <c r="B556" s="1026"/>
      <c r="C556" s="1026"/>
      <c r="D556" s="1026"/>
      <c r="E556" s="1026"/>
      <c r="F556" s="1026"/>
      <c r="G556" s="1026"/>
      <c r="H556" s="1026"/>
      <c r="I556" s="1026"/>
      <c r="J556" s="1026"/>
      <c r="K556" s="1026"/>
      <c r="L556" s="1026"/>
      <c r="M556" s="1026"/>
      <c r="N556" s="1026"/>
      <c r="O556" s="1026"/>
      <c r="P556" s="1026"/>
      <c r="Q556" s="1026"/>
      <c r="R556" s="1026"/>
      <c r="S556" s="1026"/>
      <c r="T556" s="1026"/>
      <c r="U556" s="1026"/>
      <c r="V556" s="1026"/>
      <c r="W556" s="1026"/>
      <c r="X556" s="1026"/>
      <c r="Y556" s="1026"/>
      <c r="Z556" s="1026"/>
    </row>
    <row r="557" spans="1:26">
      <c r="A557" s="1026"/>
      <c r="B557" s="1026"/>
      <c r="C557" s="1026"/>
      <c r="D557" s="1026"/>
      <c r="E557" s="1026"/>
      <c r="F557" s="1026"/>
      <c r="G557" s="1026"/>
      <c r="H557" s="1026"/>
      <c r="I557" s="1026"/>
      <c r="J557" s="1026"/>
      <c r="K557" s="1026"/>
      <c r="L557" s="1026"/>
      <c r="M557" s="1026"/>
      <c r="N557" s="1026"/>
      <c r="O557" s="1026"/>
      <c r="P557" s="1026"/>
      <c r="Q557" s="1026"/>
      <c r="R557" s="1026"/>
      <c r="S557" s="1026"/>
      <c r="T557" s="1026"/>
      <c r="U557" s="1026"/>
      <c r="V557" s="1026"/>
      <c r="W557" s="1026"/>
      <c r="X557" s="1026"/>
      <c r="Y557" s="1026"/>
      <c r="Z557" s="1026"/>
    </row>
    <row r="558" spans="1:26">
      <c r="A558" s="1026"/>
      <c r="B558" s="1026"/>
      <c r="C558" s="1026"/>
      <c r="D558" s="1026"/>
      <c r="E558" s="1026"/>
      <c r="F558" s="1026"/>
      <c r="G558" s="1026"/>
      <c r="H558" s="1026"/>
      <c r="I558" s="1026"/>
      <c r="J558" s="1026"/>
      <c r="K558" s="1026"/>
      <c r="L558" s="1026"/>
      <c r="M558" s="1026"/>
      <c r="N558" s="1026"/>
      <c r="O558" s="1026"/>
      <c r="P558" s="1026"/>
      <c r="Q558" s="1026"/>
      <c r="R558" s="1026"/>
      <c r="S558" s="1026"/>
      <c r="T558" s="1026"/>
      <c r="U558" s="1026"/>
      <c r="V558" s="1026"/>
      <c r="W558" s="1026"/>
      <c r="X558" s="1026"/>
      <c r="Y558" s="1026"/>
      <c r="Z558" s="1026"/>
    </row>
    <row r="559" spans="1:26">
      <c r="A559" s="1026"/>
      <c r="B559" s="1026"/>
      <c r="C559" s="1026"/>
      <c r="D559" s="1026"/>
      <c r="E559" s="1026"/>
      <c r="F559" s="1026"/>
      <c r="G559" s="1026"/>
      <c r="H559" s="1026"/>
      <c r="I559" s="1026"/>
      <c r="J559" s="1026"/>
      <c r="K559" s="1026"/>
      <c r="L559" s="1026"/>
      <c r="M559" s="1026"/>
      <c r="N559" s="1026"/>
      <c r="O559" s="1026"/>
      <c r="P559" s="1026"/>
      <c r="Q559" s="1026"/>
      <c r="R559" s="1026"/>
      <c r="S559" s="1026"/>
      <c r="T559" s="1026"/>
      <c r="U559" s="1026"/>
      <c r="V559" s="1026"/>
      <c r="W559" s="1026"/>
      <c r="X559" s="1026"/>
      <c r="Y559" s="1026"/>
      <c r="Z559" s="1026"/>
    </row>
    <row r="560" spans="1:26">
      <c r="A560" s="1026"/>
      <c r="B560" s="1026"/>
      <c r="C560" s="1026"/>
      <c r="D560" s="1026"/>
      <c r="E560" s="1026"/>
      <c r="F560" s="1026"/>
      <c r="G560" s="1026"/>
      <c r="H560" s="1026"/>
      <c r="I560" s="1026"/>
      <c r="J560" s="1026"/>
      <c r="K560" s="1026"/>
      <c r="L560" s="1026"/>
      <c r="M560" s="1026"/>
      <c r="N560" s="1026"/>
      <c r="O560" s="1026"/>
      <c r="P560" s="1026"/>
      <c r="Q560" s="1026"/>
      <c r="R560" s="1026"/>
      <c r="S560" s="1026"/>
      <c r="T560" s="1026"/>
      <c r="U560" s="1026"/>
      <c r="V560" s="1026"/>
      <c r="W560" s="1026"/>
      <c r="X560" s="1026"/>
      <c r="Y560" s="1026"/>
      <c r="Z560" s="1026"/>
    </row>
    <row r="561" spans="1:26">
      <c r="A561" s="1026"/>
      <c r="B561" s="1026"/>
      <c r="C561" s="1026"/>
      <c r="D561" s="1026"/>
      <c r="E561" s="1026"/>
      <c r="F561" s="1026"/>
      <c r="G561" s="1026"/>
      <c r="H561" s="1026"/>
      <c r="I561" s="1026"/>
      <c r="J561" s="1026"/>
      <c r="K561" s="1026"/>
      <c r="L561" s="1026"/>
      <c r="M561" s="1026"/>
      <c r="N561" s="1026"/>
      <c r="O561" s="1026"/>
      <c r="P561" s="1026"/>
      <c r="Q561" s="1026"/>
      <c r="R561" s="1026"/>
      <c r="S561" s="1026"/>
      <c r="T561" s="1026"/>
      <c r="U561" s="1026"/>
      <c r="V561" s="1026"/>
      <c r="W561" s="1026"/>
      <c r="X561" s="1026"/>
      <c r="Y561" s="1026"/>
      <c r="Z561" s="1026"/>
    </row>
    <row r="562" spans="1:26">
      <c r="A562" s="1026"/>
      <c r="B562" s="1026"/>
      <c r="C562" s="1026"/>
      <c r="D562" s="1026"/>
      <c r="E562" s="1026"/>
      <c r="F562" s="1026"/>
      <c r="G562" s="1026"/>
      <c r="H562" s="1026"/>
      <c r="I562" s="1026"/>
      <c r="J562" s="1026"/>
      <c r="K562" s="1026"/>
      <c r="L562" s="1026"/>
      <c r="M562" s="1026"/>
      <c r="N562" s="1026"/>
      <c r="O562" s="1026"/>
      <c r="P562" s="1026"/>
      <c r="Q562" s="1026"/>
      <c r="R562" s="1026"/>
      <c r="S562" s="1026"/>
      <c r="T562" s="1026"/>
      <c r="U562" s="1026"/>
      <c r="V562" s="1026"/>
      <c r="W562" s="1026"/>
      <c r="X562" s="1026"/>
      <c r="Y562" s="1026"/>
      <c r="Z562" s="1026"/>
    </row>
    <row r="563" spans="1:26">
      <c r="A563" s="1026"/>
      <c r="B563" s="1026"/>
      <c r="C563" s="1026"/>
      <c r="D563" s="1026"/>
      <c r="E563" s="1026"/>
      <c r="F563" s="1026"/>
      <c r="G563" s="1026"/>
      <c r="H563" s="1026"/>
      <c r="I563" s="1026"/>
      <c r="J563" s="1026"/>
      <c r="K563" s="1026"/>
      <c r="L563" s="1026"/>
      <c r="M563" s="1026"/>
      <c r="N563" s="1026"/>
      <c r="O563" s="1026"/>
      <c r="P563" s="1026"/>
      <c r="Q563" s="1026"/>
      <c r="R563" s="1026"/>
      <c r="S563" s="1026"/>
      <c r="T563" s="1026"/>
      <c r="U563" s="1026"/>
      <c r="V563" s="1026"/>
      <c r="W563" s="1026"/>
      <c r="X563" s="1026"/>
      <c r="Y563" s="1026"/>
      <c r="Z563" s="1026"/>
    </row>
    <row r="564" spans="1:26">
      <c r="A564" s="1026"/>
      <c r="B564" s="1026"/>
      <c r="C564" s="1026"/>
      <c r="D564" s="1026"/>
      <c r="E564" s="1026"/>
      <c r="F564" s="1026"/>
      <c r="G564" s="1026"/>
      <c r="H564" s="1026"/>
      <c r="I564" s="1026"/>
      <c r="J564" s="1026"/>
      <c r="K564" s="1026"/>
      <c r="L564" s="1026"/>
      <c r="M564" s="1026"/>
      <c r="N564" s="1026"/>
      <c r="O564" s="1026"/>
      <c r="P564" s="1026"/>
      <c r="Q564" s="1026"/>
      <c r="R564" s="1026"/>
      <c r="S564" s="1026"/>
      <c r="T564" s="1026"/>
      <c r="U564" s="1026"/>
      <c r="V564" s="1026"/>
      <c r="W564" s="1026"/>
      <c r="X564" s="1026"/>
      <c r="Y564" s="1026"/>
      <c r="Z564" s="1026"/>
    </row>
    <row r="565" spans="1:26">
      <c r="A565" s="1026"/>
      <c r="B565" s="1026"/>
      <c r="C565" s="1026"/>
      <c r="D565" s="1026"/>
      <c r="E565" s="1026"/>
      <c r="F565" s="1026"/>
      <c r="G565" s="1026"/>
      <c r="H565" s="1026"/>
      <c r="I565" s="1026"/>
      <c r="J565" s="1026"/>
      <c r="K565" s="1026"/>
      <c r="L565" s="1026"/>
      <c r="M565" s="1026"/>
      <c r="N565" s="1026"/>
      <c r="O565" s="1026"/>
      <c r="P565" s="1026"/>
      <c r="Q565" s="1026"/>
      <c r="R565" s="1026"/>
      <c r="S565" s="1026"/>
      <c r="T565" s="1026"/>
      <c r="U565" s="1026"/>
      <c r="V565" s="1026"/>
      <c r="W565" s="1026"/>
      <c r="X565" s="1026"/>
      <c r="Y565" s="1026"/>
      <c r="Z565" s="1026"/>
    </row>
    <row r="566" spans="1:26">
      <c r="A566" s="1026"/>
      <c r="B566" s="1026"/>
      <c r="C566" s="1026"/>
      <c r="D566" s="1026"/>
      <c r="E566" s="1026"/>
      <c r="F566" s="1026"/>
      <c r="G566" s="1026"/>
      <c r="H566" s="1026"/>
      <c r="I566" s="1026"/>
      <c r="J566" s="1026"/>
      <c r="K566" s="1026"/>
      <c r="L566" s="1026"/>
      <c r="M566" s="1026"/>
      <c r="N566" s="1026"/>
      <c r="O566" s="1026"/>
      <c r="P566" s="1026"/>
      <c r="Q566" s="1026"/>
      <c r="R566" s="1026"/>
      <c r="S566" s="1026"/>
      <c r="T566" s="1026"/>
      <c r="U566" s="1026"/>
      <c r="V566" s="1026"/>
      <c r="W566" s="1026"/>
      <c r="X566" s="1026"/>
      <c r="Y566" s="1026"/>
      <c r="Z566" s="1026"/>
    </row>
    <row r="567" spans="1:26">
      <c r="A567" s="1026"/>
      <c r="B567" s="1026"/>
      <c r="C567" s="1026"/>
      <c r="D567" s="1026"/>
      <c r="E567" s="1026"/>
      <c r="F567" s="1026"/>
      <c r="G567" s="1026"/>
      <c r="H567" s="1026"/>
      <c r="I567" s="1026"/>
      <c r="J567" s="1026"/>
      <c r="K567" s="1026"/>
      <c r="L567" s="1026"/>
      <c r="M567" s="1026"/>
      <c r="N567" s="1026"/>
      <c r="O567" s="1026"/>
      <c r="P567" s="1026"/>
      <c r="Q567" s="1026"/>
      <c r="R567" s="1026"/>
      <c r="S567" s="1026"/>
      <c r="T567" s="1026"/>
      <c r="U567" s="1026"/>
      <c r="V567" s="1026"/>
      <c r="W567" s="1026"/>
      <c r="X567" s="1026"/>
      <c r="Y567" s="1026"/>
      <c r="Z567" s="1026"/>
    </row>
    <row r="568" spans="1:26">
      <c r="A568" s="1026"/>
      <c r="B568" s="1026"/>
      <c r="C568" s="1026"/>
      <c r="D568" s="1026"/>
      <c r="E568" s="1026"/>
      <c r="F568" s="1026"/>
      <c r="G568" s="1026"/>
      <c r="H568" s="1026"/>
      <c r="I568" s="1026"/>
      <c r="J568" s="1026"/>
      <c r="K568" s="1026"/>
      <c r="L568" s="1026"/>
      <c r="M568" s="1026"/>
      <c r="N568" s="1026"/>
      <c r="O568" s="1026"/>
      <c r="P568" s="1026"/>
      <c r="Q568" s="1026"/>
      <c r="R568" s="1026"/>
      <c r="S568" s="1026"/>
      <c r="T568" s="1026"/>
      <c r="U568" s="1026"/>
      <c r="V568" s="1026"/>
      <c r="W568" s="1026"/>
      <c r="X568" s="1026"/>
      <c r="Y568" s="1026"/>
      <c r="Z568" s="1026"/>
    </row>
    <row r="569" spans="1:26">
      <c r="A569" s="1026"/>
      <c r="B569" s="1026"/>
      <c r="C569" s="1026"/>
      <c r="D569" s="1026"/>
      <c r="E569" s="1026"/>
      <c r="F569" s="1026"/>
      <c r="G569" s="1026"/>
      <c r="H569" s="1026"/>
      <c r="I569" s="1026"/>
      <c r="J569" s="1026"/>
      <c r="K569" s="1026"/>
      <c r="L569" s="1026"/>
      <c r="M569" s="1026"/>
      <c r="N569" s="1026"/>
      <c r="O569" s="1026"/>
      <c r="P569" s="1026"/>
      <c r="Q569" s="1026"/>
      <c r="R569" s="1026"/>
      <c r="S569" s="1026"/>
      <c r="T569" s="1026"/>
      <c r="U569" s="1026"/>
      <c r="V569" s="1026"/>
      <c r="W569" s="1026"/>
      <c r="X569" s="1026"/>
      <c r="Y569" s="1026"/>
      <c r="Z569" s="1026"/>
    </row>
    <row r="570" spans="1:26">
      <c r="A570" s="1026"/>
      <c r="B570" s="1026"/>
      <c r="C570" s="1026"/>
      <c r="D570" s="1026"/>
      <c r="E570" s="1026"/>
      <c r="F570" s="1026"/>
      <c r="G570" s="1026"/>
      <c r="H570" s="1026"/>
      <c r="I570" s="1026"/>
      <c r="J570" s="1026"/>
      <c r="K570" s="1026"/>
      <c r="L570" s="1026"/>
      <c r="M570" s="1026"/>
      <c r="N570" s="1026"/>
      <c r="O570" s="1026"/>
      <c r="P570" s="1026"/>
      <c r="Q570" s="1026"/>
      <c r="R570" s="1026"/>
      <c r="S570" s="1026"/>
      <c r="T570" s="1026"/>
      <c r="U570" s="1026"/>
      <c r="V570" s="1026"/>
      <c r="W570" s="1026"/>
      <c r="X570" s="1026"/>
      <c r="Y570" s="1026"/>
      <c r="Z570" s="1026"/>
    </row>
    <row r="571" spans="1:26">
      <c r="A571" s="1026"/>
      <c r="B571" s="1026"/>
      <c r="C571" s="1026"/>
      <c r="D571" s="1026"/>
      <c r="E571" s="1026"/>
      <c r="F571" s="1026"/>
      <c r="G571" s="1026"/>
      <c r="H571" s="1026"/>
      <c r="I571" s="1026"/>
      <c r="J571" s="1026"/>
      <c r="K571" s="1026"/>
      <c r="L571" s="1026"/>
      <c r="M571" s="1026"/>
      <c r="N571" s="1026"/>
      <c r="O571" s="1026"/>
      <c r="P571" s="1026"/>
      <c r="Q571" s="1026"/>
      <c r="R571" s="1026"/>
      <c r="S571" s="1026"/>
      <c r="T571" s="1026"/>
      <c r="U571" s="1026"/>
      <c r="V571" s="1026"/>
      <c r="W571" s="1026"/>
      <c r="X571" s="1026"/>
      <c r="Y571" s="1026"/>
      <c r="Z571" s="1026"/>
    </row>
    <row r="572" spans="1:26">
      <c r="A572" s="1026"/>
      <c r="B572" s="1026"/>
      <c r="C572" s="1026"/>
      <c r="D572" s="1026"/>
      <c r="E572" s="1026"/>
      <c r="F572" s="1026"/>
      <c r="G572" s="1026"/>
      <c r="H572" s="1026"/>
      <c r="I572" s="1026"/>
      <c r="J572" s="1026"/>
      <c r="K572" s="1026"/>
      <c r="L572" s="1026"/>
      <c r="M572" s="1026"/>
      <c r="N572" s="1026"/>
      <c r="O572" s="1026"/>
      <c r="P572" s="1026"/>
      <c r="Q572" s="1026"/>
      <c r="R572" s="1026"/>
      <c r="S572" s="1026"/>
      <c r="T572" s="1026"/>
      <c r="U572" s="1026"/>
      <c r="V572" s="1026"/>
      <c r="W572" s="1026"/>
      <c r="X572" s="1026"/>
      <c r="Y572" s="1026"/>
      <c r="Z572" s="1026"/>
    </row>
    <row r="573" spans="1:26">
      <c r="A573" s="1026"/>
      <c r="B573" s="1026"/>
      <c r="C573" s="1026"/>
      <c r="D573" s="1026"/>
      <c r="E573" s="1026"/>
      <c r="F573" s="1026"/>
      <c r="G573" s="1026"/>
      <c r="H573" s="1026"/>
      <c r="I573" s="1026"/>
      <c r="J573" s="1026"/>
      <c r="K573" s="1026"/>
      <c r="L573" s="1026"/>
      <c r="M573" s="1026"/>
      <c r="N573" s="1026"/>
      <c r="O573" s="1026"/>
      <c r="P573" s="1026"/>
      <c r="Q573" s="1026"/>
      <c r="R573" s="1026"/>
      <c r="S573" s="1026"/>
      <c r="T573" s="1026"/>
      <c r="U573" s="1026"/>
      <c r="V573" s="1026"/>
      <c r="W573" s="1026"/>
      <c r="X573" s="1026"/>
      <c r="Y573" s="1026"/>
      <c r="Z573" s="1026"/>
    </row>
    <row r="574" spans="1:26">
      <c r="A574" s="1026"/>
      <c r="B574" s="1026"/>
      <c r="C574" s="1026"/>
      <c r="D574" s="1026"/>
      <c r="E574" s="1026"/>
      <c r="F574" s="1026"/>
      <c r="G574" s="1026"/>
      <c r="H574" s="1026"/>
      <c r="I574" s="1026"/>
      <c r="J574" s="1026"/>
      <c r="K574" s="1026"/>
      <c r="L574" s="1026"/>
      <c r="M574" s="1026"/>
      <c r="N574" s="1026"/>
      <c r="O574" s="1026"/>
      <c r="P574" s="1026"/>
      <c r="Q574" s="1026"/>
      <c r="R574" s="1026"/>
      <c r="S574" s="1026"/>
      <c r="T574" s="1026"/>
      <c r="U574" s="1026"/>
      <c r="V574" s="1026"/>
      <c r="W574" s="1026"/>
      <c r="X574" s="1026"/>
      <c r="Y574" s="1026"/>
      <c r="Z574" s="1026"/>
    </row>
    <row r="575" spans="1:26">
      <c r="A575" s="1026"/>
      <c r="B575" s="1026"/>
      <c r="C575" s="1026"/>
      <c r="D575" s="1026"/>
      <c r="E575" s="1026"/>
      <c r="F575" s="1026"/>
      <c r="G575" s="1026"/>
      <c r="H575" s="1026"/>
      <c r="I575" s="1026"/>
      <c r="J575" s="1026"/>
      <c r="K575" s="1026"/>
      <c r="L575" s="1026"/>
      <c r="M575" s="1026"/>
      <c r="N575" s="1026"/>
      <c r="O575" s="1026"/>
      <c r="P575" s="1026"/>
      <c r="Q575" s="1026"/>
      <c r="R575" s="1026"/>
      <c r="S575" s="1026"/>
      <c r="T575" s="1026"/>
      <c r="U575" s="1026"/>
      <c r="V575" s="1026"/>
      <c r="W575" s="1026"/>
      <c r="X575" s="1026"/>
      <c r="Y575" s="1026"/>
      <c r="Z575" s="1026"/>
    </row>
    <row r="576" spans="1:26">
      <c r="A576" s="1026"/>
      <c r="B576" s="1026"/>
      <c r="C576" s="1026"/>
      <c r="D576" s="1026"/>
      <c r="E576" s="1026"/>
      <c r="F576" s="1026"/>
      <c r="G576" s="1026"/>
      <c r="H576" s="1026"/>
      <c r="I576" s="1026"/>
      <c r="J576" s="1026"/>
      <c r="K576" s="1026"/>
      <c r="L576" s="1026"/>
      <c r="M576" s="1026"/>
      <c r="N576" s="1026"/>
      <c r="O576" s="1026"/>
      <c r="P576" s="1026"/>
      <c r="Q576" s="1026"/>
      <c r="R576" s="1026"/>
      <c r="S576" s="1026"/>
      <c r="T576" s="1026"/>
      <c r="U576" s="1026"/>
      <c r="V576" s="1026"/>
      <c r="W576" s="1026"/>
      <c r="X576" s="1026"/>
      <c r="Y576" s="1026"/>
      <c r="Z576" s="1026"/>
    </row>
    <row r="577" spans="1:26">
      <c r="A577" s="1026"/>
      <c r="B577" s="1026"/>
      <c r="C577" s="1026"/>
      <c r="D577" s="1026"/>
      <c r="E577" s="1026"/>
      <c r="F577" s="1026"/>
      <c r="G577" s="1026"/>
      <c r="H577" s="1026"/>
      <c r="I577" s="1026"/>
      <c r="J577" s="1026"/>
      <c r="K577" s="1026"/>
      <c r="L577" s="1026"/>
      <c r="M577" s="1026"/>
      <c r="N577" s="1026"/>
      <c r="O577" s="1026"/>
      <c r="P577" s="1026"/>
      <c r="Q577" s="1026"/>
      <c r="R577" s="1026"/>
      <c r="S577" s="1026"/>
      <c r="T577" s="1026"/>
      <c r="U577" s="1026"/>
      <c r="V577" s="1026"/>
      <c r="W577" s="1026"/>
      <c r="X577" s="1026"/>
      <c r="Y577" s="1026"/>
      <c r="Z577" s="1026"/>
    </row>
    <row r="578" spans="1:26">
      <c r="A578" s="1026"/>
      <c r="B578" s="1026"/>
      <c r="C578" s="1026"/>
      <c r="D578" s="1026"/>
      <c r="E578" s="1026"/>
      <c r="F578" s="1026"/>
      <c r="G578" s="1026"/>
      <c r="H578" s="1026"/>
      <c r="I578" s="1026"/>
      <c r="J578" s="1026"/>
      <c r="K578" s="1026"/>
      <c r="L578" s="1026"/>
      <c r="M578" s="1026"/>
      <c r="N578" s="1026"/>
      <c r="O578" s="1026"/>
      <c r="P578" s="1026"/>
      <c r="Q578" s="1026"/>
      <c r="R578" s="1026"/>
      <c r="S578" s="1026"/>
      <c r="T578" s="1026"/>
      <c r="U578" s="1026"/>
      <c r="V578" s="1026"/>
      <c r="W578" s="1026"/>
      <c r="X578" s="1026"/>
      <c r="Y578" s="1026"/>
      <c r="Z578" s="1026"/>
    </row>
    <row r="579" spans="1:26">
      <c r="A579" s="1026"/>
      <c r="B579" s="1026"/>
      <c r="C579" s="1026"/>
      <c r="D579" s="1026"/>
      <c r="E579" s="1026"/>
      <c r="F579" s="1026"/>
      <c r="G579" s="1026"/>
      <c r="H579" s="1026"/>
      <c r="I579" s="1026"/>
      <c r="J579" s="1026"/>
      <c r="K579" s="1026"/>
      <c r="L579" s="1026"/>
      <c r="M579" s="1026"/>
      <c r="N579" s="1026"/>
      <c r="O579" s="1026"/>
      <c r="P579" s="1026"/>
      <c r="Q579" s="1026"/>
      <c r="R579" s="1026"/>
      <c r="S579" s="1026"/>
      <c r="T579" s="1026"/>
      <c r="U579" s="1026"/>
      <c r="V579" s="1026"/>
      <c r="W579" s="1026"/>
      <c r="X579" s="1026"/>
      <c r="Y579" s="1026"/>
      <c r="Z579" s="1026"/>
    </row>
    <row r="580" spans="1:26">
      <c r="A580" s="1026"/>
      <c r="B580" s="1026"/>
      <c r="C580" s="1026"/>
      <c r="D580" s="1026"/>
      <c r="E580" s="1026"/>
      <c r="F580" s="1026"/>
      <c r="G580" s="1026"/>
      <c r="H580" s="1026"/>
      <c r="I580" s="1026"/>
      <c r="J580" s="1026"/>
      <c r="K580" s="1026"/>
      <c r="L580" s="1026"/>
      <c r="M580" s="1026"/>
      <c r="N580" s="1026"/>
      <c r="O580" s="1026"/>
      <c r="P580" s="1026"/>
      <c r="Q580" s="1026"/>
      <c r="R580" s="1026"/>
      <c r="S580" s="1026"/>
      <c r="T580" s="1026"/>
      <c r="U580" s="1026"/>
      <c r="V580" s="1026"/>
      <c r="W580" s="1026"/>
      <c r="X580" s="1026"/>
      <c r="Y580" s="1026"/>
      <c r="Z580" s="1026"/>
    </row>
    <row r="581" spans="1:26">
      <c r="A581" s="1026"/>
      <c r="B581" s="1026"/>
      <c r="C581" s="1026"/>
      <c r="D581" s="1026"/>
      <c r="E581" s="1026"/>
      <c r="F581" s="1026"/>
      <c r="G581" s="1026"/>
      <c r="H581" s="1026"/>
      <c r="I581" s="1026"/>
      <c r="J581" s="1026"/>
      <c r="K581" s="1026"/>
      <c r="L581" s="1026"/>
      <c r="M581" s="1026"/>
      <c r="N581" s="1026"/>
      <c r="O581" s="1026"/>
      <c r="P581" s="1026"/>
      <c r="Q581" s="1026"/>
      <c r="R581" s="1026"/>
      <c r="S581" s="1026"/>
      <c r="T581" s="1026"/>
      <c r="U581" s="1026"/>
      <c r="V581" s="1026"/>
      <c r="W581" s="1026"/>
      <c r="X581" s="1026"/>
      <c r="Y581" s="1026"/>
      <c r="Z581" s="1026"/>
    </row>
    <row r="582" spans="1:26">
      <c r="A582" s="1026"/>
      <c r="B582" s="1026"/>
      <c r="C582" s="1026"/>
      <c r="D582" s="1026"/>
      <c r="E582" s="1026"/>
      <c r="F582" s="1026"/>
      <c r="G582" s="1026"/>
      <c r="H582" s="1026"/>
      <c r="I582" s="1026"/>
      <c r="J582" s="1026"/>
      <c r="K582" s="1026"/>
      <c r="L582" s="1026"/>
      <c r="M582" s="1026"/>
      <c r="N582" s="1026"/>
      <c r="O582" s="1026"/>
      <c r="P582" s="1026"/>
      <c r="Q582" s="1026"/>
      <c r="R582" s="1026"/>
      <c r="S582" s="1026"/>
      <c r="T582" s="1026"/>
      <c r="U582" s="1026"/>
      <c r="V582" s="1026"/>
      <c r="W582" s="1026"/>
      <c r="X582" s="1026"/>
      <c r="Y582" s="1026"/>
      <c r="Z582" s="1026"/>
    </row>
    <row r="583" spans="1:26">
      <c r="A583" s="1026"/>
      <c r="B583" s="1026"/>
      <c r="C583" s="1026"/>
      <c r="D583" s="1026"/>
      <c r="E583" s="1026"/>
      <c r="F583" s="1026"/>
      <c r="G583" s="1026"/>
      <c r="H583" s="1026"/>
      <c r="I583" s="1026"/>
      <c r="J583" s="1026"/>
      <c r="K583" s="1026"/>
      <c r="L583" s="1026"/>
      <c r="M583" s="1026"/>
      <c r="N583" s="1026"/>
      <c r="O583" s="1026"/>
      <c r="P583" s="1026"/>
      <c r="Q583" s="1026"/>
      <c r="R583" s="1026"/>
      <c r="S583" s="1026"/>
      <c r="T583" s="1026"/>
      <c r="U583" s="1026"/>
      <c r="V583" s="1026"/>
      <c r="W583" s="1026"/>
      <c r="X583" s="1026"/>
      <c r="Y583" s="1026"/>
      <c r="Z583" s="1026"/>
    </row>
    <row r="584" spans="1:26">
      <c r="A584" s="1026"/>
      <c r="B584" s="1026"/>
      <c r="C584" s="1026"/>
      <c r="D584" s="1026"/>
      <c r="E584" s="1026"/>
      <c r="F584" s="1026"/>
      <c r="G584" s="1026"/>
      <c r="H584" s="1026"/>
      <c r="I584" s="1026"/>
      <c r="J584" s="1026"/>
      <c r="K584" s="1026"/>
      <c r="L584" s="1026"/>
      <c r="M584" s="1026"/>
      <c r="N584" s="1026"/>
      <c r="O584" s="1026"/>
      <c r="P584" s="1026"/>
      <c r="Q584" s="1026"/>
      <c r="R584" s="1026"/>
      <c r="S584" s="1026"/>
      <c r="T584" s="1026"/>
      <c r="U584" s="1026"/>
      <c r="V584" s="1026"/>
      <c r="W584" s="1026"/>
      <c r="X584" s="1026"/>
      <c r="Y584" s="1026"/>
      <c r="Z584" s="1026"/>
    </row>
    <row r="585" spans="1:26">
      <c r="A585" s="1026"/>
      <c r="B585" s="1026"/>
      <c r="C585" s="1026"/>
      <c r="D585" s="1026"/>
      <c r="E585" s="1026"/>
      <c r="F585" s="1026"/>
      <c r="G585" s="1026"/>
      <c r="H585" s="1026"/>
      <c r="I585" s="1026"/>
      <c r="J585" s="1026"/>
      <c r="K585" s="1026"/>
      <c r="L585" s="1026"/>
      <c r="M585" s="1026"/>
      <c r="N585" s="1026"/>
      <c r="O585" s="1026"/>
      <c r="P585" s="1026"/>
      <c r="Q585" s="1026"/>
      <c r="R585" s="1026"/>
      <c r="S585" s="1026"/>
      <c r="T585" s="1026"/>
      <c r="U585" s="1026"/>
      <c r="V585" s="1026"/>
      <c r="W585" s="1026"/>
      <c r="X585" s="1026"/>
      <c r="Y585" s="1026"/>
      <c r="Z585" s="1026"/>
    </row>
    <row r="586" spans="1:26">
      <c r="A586" s="1026"/>
      <c r="B586" s="1026"/>
      <c r="C586" s="1026"/>
      <c r="D586" s="1026"/>
      <c r="E586" s="1026"/>
      <c r="F586" s="1026"/>
      <c r="G586" s="1026"/>
      <c r="H586" s="1026"/>
      <c r="I586" s="1026"/>
      <c r="J586" s="1026"/>
      <c r="K586" s="1026"/>
      <c r="L586" s="1026"/>
      <c r="M586" s="1026"/>
      <c r="N586" s="1026"/>
      <c r="O586" s="1026"/>
      <c r="P586" s="1026"/>
      <c r="Q586" s="1026"/>
      <c r="R586" s="1026"/>
      <c r="S586" s="1026"/>
      <c r="T586" s="1026"/>
      <c r="U586" s="1026"/>
      <c r="V586" s="1026"/>
      <c r="W586" s="1026"/>
      <c r="X586" s="1026"/>
      <c r="Y586" s="1026"/>
      <c r="Z586" s="1026"/>
    </row>
    <row r="587" spans="1:26">
      <c r="A587" s="1026"/>
      <c r="B587" s="1026"/>
      <c r="C587" s="1026"/>
      <c r="D587" s="1026"/>
      <c r="E587" s="1026"/>
      <c r="F587" s="1026"/>
      <c r="G587" s="1026"/>
      <c r="H587" s="1026"/>
      <c r="I587" s="1026"/>
      <c r="J587" s="1026"/>
      <c r="K587" s="1026"/>
      <c r="L587" s="1026"/>
      <c r="M587" s="1026"/>
      <c r="N587" s="1026"/>
      <c r="O587" s="1026"/>
      <c r="P587" s="1026"/>
      <c r="Q587" s="1026"/>
      <c r="R587" s="1026"/>
      <c r="S587" s="1026"/>
      <c r="T587" s="1026"/>
      <c r="U587" s="1026"/>
      <c r="V587" s="1026"/>
      <c r="W587" s="1026"/>
      <c r="X587" s="1026"/>
      <c r="Y587" s="1026"/>
      <c r="Z587" s="1026"/>
    </row>
    <row r="588" spans="1:26">
      <c r="A588" s="1026"/>
      <c r="B588" s="1026"/>
      <c r="C588" s="1026"/>
      <c r="D588" s="1026"/>
      <c r="E588" s="1026"/>
      <c r="F588" s="1026"/>
      <c r="G588" s="1026"/>
      <c r="H588" s="1026"/>
      <c r="I588" s="1026"/>
      <c r="J588" s="1026"/>
      <c r="K588" s="1026"/>
      <c r="L588" s="1026"/>
      <c r="M588" s="1026"/>
      <c r="N588" s="1026"/>
      <c r="O588" s="1026"/>
      <c r="P588" s="1026"/>
      <c r="Q588" s="1026"/>
      <c r="R588" s="1026"/>
      <c r="S588" s="1026"/>
      <c r="T588" s="1026"/>
      <c r="U588" s="1026"/>
      <c r="V588" s="1026"/>
      <c r="W588" s="1026"/>
      <c r="X588" s="1026"/>
      <c r="Y588" s="1026"/>
      <c r="Z588" s="1026"/>
    </row>
    <row r="589" spans="1:26">
      <c r="A589" s="1026"/>
      <c r="B589" s="1026"/>
      <c r="C589" s="1026"/>
      <c r="D589" s="1026"/>
      <c r="E589" s="1026"/>
      <c r="F589" s="1026"/>
      <c r="G589" s="1026"/>
      <c r="H589" s="1026"/>
      <c r="I589" s="1026"/>
      <c r="J589" s="1026"/>
      <c r="K589" s="1026"/>
      <c r="L589" s="1026"/>
      <c r="M589" s="1026"/>
      <c r="N589" s="1026"/>
      <c r="O589" s="1026"/>
      <c r="P589" s="1026"/>
      <c r="Q589" s="1026"/>
      <c r="R589" s="1026"/>
      <c r="S589" s="1026"/>
      <c r="T589" s="1026"/>
      <c r="U589" s="1026"/>
      <c r="V589" s="1026"/>
      <c r="W589" s="1026"/>
      <c r="X589" s="1026"/>
      <c r="Y589" s="1026"/>
      <c r="Z589" s="1026"/>
    </row>
    <row r="590" spans="1:26">
      <c r="A590" s="1026"/>
      <c r="B590" s="1026"/>
      <c r="C590" s="1026"/>
      <c r="D590" s="1026"/>
      <c r="E590" s="1026"/>
      <c r="F590" s="1026"/>
      <c r="G590" s="1026"/>
      <c r="H590" s="1026"/>
      <c r="I590" s="1026"/>
      <c r="J590" s="1026"/>
      <c r="K590" s="1026"/>
      <c r="L590" s="1026"/>
      <c r="M590" s="1026"/>
      <c r="N590" s="1026"/>
      <c r="O590" s="1026"/>
      <c r="P590" s="1026"/>
      <c r="Q590" s="1026"/>
      <c r="R590" s="1026"/>
      <c r="S590" s="1026"/>
      <c r="T590" s="1026"/>
      <c r="U590" s="1026"/>
      <c r="V590" s="1026"/>
      <c r="W590" s="1026"/>
      <c r="X590" s="1026"/>
      <c r="Y590" s="1026"/>
      <c r="Z590" s="1026"/>
    </row>
    <row r="591" spans="1:26">
      <c r="A591" s="1026"/>
      <c r="B591" s="1026"/>
      <c r="C591" s="1026"/>
      <c r="D591" s="1026"/>
      <c r="E591" s="1026"/>
      <c r="F591" s="1026"/>
      <c r="G591" s="1026"/>
      <c r="H591" s="1026"/>
      <c r="I591" s="1026"/>
      <c r="J591" s="1026"/>
      <c r="K591" s="1026"/>
      <c r="L591" s="1026"/>
      <c r="M591" s="1026"/>
      <c r="N591" s="1026"/>
      <c r="O591" s="1026"/>
      <c r="P591" s="1026"/>
      <c r="Q591" s="1026"/>
      <c r="R591" s="1026"/>
      <c r="S591" s="1026"/>
      <c r="T591" s="1026"/>
      <c r="U591" s="1026"/>
      <c r="V591" s="1026"/>
      <c r="W591" s="1026"/>
      <c r="X591" s="1026"/>
      <c r="Y591" s="1026"/>
      <c r="Z591" s="1026"/>
    </row>
    <row r="592" spans="1:26">
      <c r="A592" s="1026"/>
      <c r="B592" s="1026"/>
      <c r="C592" s="1026"/>
      <c r="D592" s="1026"/>
      <c r="E592" s="1026"/>
      <c r="F592" s="1026"/>
      <c r="G592" s="1026"/>
      <c r="H592" s="1026"/>
      <c r="I592" s="1026"/>
      <c r="J592" s="1026"/>
      <c r="K592" s="1026"/>
      <c r="L592" s="1026"/>
      <c r="M592" s="1026"/>
      <c r="N592" s="1026"/>
      <c r="O592" s="1026"/>
      <c r="P592" s="1026"/>
      <c r="Q592" s="1026"/>
      <c r="R592" s="1026"/>
      <c r="S592" s="1026"/>
      <c r="T592" s="1026"/>
      <c r="U592" s="1026"/>
      <c r="V592" s="1026"/>
      <c r="W592" s="1026"/>
      <c r="X592" s="1026"/>
      <c r="Y592" s="1026"/>
      <c r="Z592" s="1026"/>
    </row>
    <row r="593" spans="1:26">
      <c r="A593" s="1026"/>
      <c r="B593" s="1026"/>
      <c r="C593" s="1026"/>
      <c r="D593" s="1026"/>
      <c r="E593" s="1026"/>
      <c r="F593" s="1026"/>
      <c r="G593" s="1026"/>
      <c r="H593" s="1026"/>
      <c r="I593" s="1026"/>
      <c r="J593" s="1026"/>
      <c r="K593" s="1026"/>
      <c r="L593" s="1026"/>
      <c r="M593" s="1026"/>
      <c r="N593" s="1026"/>
      <c r="O593" s="1026"/>
      <c r="P593" s="1026"/>
      <c r="Q593" s="1026"/>
      <c r="R593" s="1026"/>
      <c r="S593" s="1026"/>
      <c r="T593" s="1026"/>
      <c r="U593" s="1026"/>
      <c r="V593" s="1026"/>
      <c r="W593" s="1026"/>
      <c r="X593" s="1026"/>
      <c r="Y593" s="1026"/>
      <c r="Z593" s="1026"/>
    </row>
    <row r="594" spans="1:26">
      <c r="A594" s="1026"/>
      <c r="B594" s="1026"/>
      <c r="C594" s="1026"/>
      <c r="D594" s="1026"/>
      <c r="E594" s="1026"/>
      <c r="F594" s="1026"/>
      <c r="G594" s="1026"/>
      <c r="H594" s="1026"/>
      <c r="I594" s="1026"/>
      <c r="J594" s="1026"/>
      <c r="K594" s="1026"/>
      <c r="L594" s="1026"/>
      <c r="M594" s="1026"/>
      <c r="N594" s="1026"/>
      <c r="O594" s="1026"/>
      <c r="P594" s="1026"/>
      <c r="Q594" s="1026"/>
      <c r="R594" s="1026"/>
      <c r="S594" s="1026"/>
      <c r="T594" s="1026"/>
      <c r="U594" s="1026"/>
      <c r="V594" s="1026"/>
      <c r="W594" s="1026"/>
      <c r="X594" s="1026"/>
      <c r="Y594" s="1026"/>
      <c r="Z594" s="1026"/>
    </row>
    <row r="595" spans="1:26">
      <c r="A595" s="1026"/>
      <c r="B595" s="1026"/>
      <c r="C595" s="1026"/>
      <c r="D595" s="1026"/>
      <c r="E595" s="1026"/>
      <c r="F595" s="1026"/>
      <c r="G595" s="1026"/>
      <c r="H595" s="1026"/>
      <c r="I595" s="1026"/>
      <c r="J595" s="1026"/>
      <c r="K595" s="1026"/>
      <c r="L595" s="1026"/>
      <c r="M595" s="1026"/>
      <c r="N595" s="1026"/>
      <c r="O595" s="1026"/>
      <c r="P595" s="1026"/>
      <c r="Q595" s="1026"/>
      <c r="R595" s="1026"/>
      <c r="S595" s="1026"/>
      <c r="T595" s="1026"/>
      <c r="U595" s="1026"/>
      <c r="V595" s="1026"/>
      <c r="W595" s="1026"/>
      <c r="X595" s="1026"/>
      <c r="Y595" s="1026"/>
      <c r="Z595" s="1026"/>
    </row>
    <row r="596" spans="1:26">
      <c r="A596" s="1026"/>
      <c r="B596" s="1026"/>
      <c r="C596" s="1026"/>
      <c r="D596" s="1026"/>
      <c r="E596" s="1026"/>
      <c r="F596" s="1026"/>
      <c r="G596" s="1026"/>
      <c r="H596" s="1026"/>
      <c r="I596" s="1026"/>
      <c r="J596" s="1026"/>
      <c r="K596" s="1026"/>
      <c r="L596" s="1026"/>
      <c r="M596" s="1026"/>
      <c r="N596" s="1026"/>
      <c r="O596" s="1026"/>
      <c r="P596" s="1026"/>
      <c r="Q596" s="1026"/>
      <c r="R596" s="1026"/>
      <c r="S596" s="1026"/>
      <c r="T596" s="1026"/>
      <c r="U596" s="1026"/>
      <c r="V596" s="1026"/>
      <c r="W596" s="1026"/>
      <c r="X596" s="1026"/>
      <c r="Y596" s="1026"/>
      <c r="Z596" s="1026"/>
    </row>
    <row r="597" spans="1:26">
      <c r="A597" s="1026"/>
      <c r="B597" s="1026"/>
      <c r="C597" s="1026"/>
      <c r="D597" s="1026"/>
      <c r="E597" s="1026"/>
      <c r="F597" s="1026"/>
      <c r="G597" s="1026"/>
      <c r="H597" s="1026"/>
      <c r="I597" s="1026"/>
      <c r="J597" s="1026"/>
      <c r="K597" s="1026"/>
      <c r="L597" s="1026"/>
      <c r="M597" s="1026"/>
      <c r="N597" s="1026"/>
      <c r="O597" s="1026"/>
      <c r="P597" s="1026"/>
      <c r="Q597" s="1026"/>
      <c r="R597" s="1026"/>
      <c r="S597" s="1026"/>
      <c r="T597" s="1026"/>
      <c r="U597" s="1026"/>
      <c r="V597" s="1026"/>
      <c r="W597" s="1026"/>
      <c r="X597" s="1026"/>
      <c r="Y597" s="1026"/>
      <c r="Z597" s="1026"/>
    </row>
    <row r="598" spans="1:26">
      <c r="A598" s="1026"/>
      <c r="B598" s="1026"/>
      <c r="C598" s="1026"/>
      <c r="D598" s="1026"/>
      <c r="E598" s="1026"/>
      <c r="F598" s="1026"/>
      <c r="G598" s="1026"/>
      <c r="H598" s="1026"/>
      <c r="I598" s="1026"/>
      <c r="J598" s="1026"/>
      <c r="K598" s="1026"/>
      <c r="L598" s="1026"/>
      <c r="M598" s="1026"/>
      <c r="N598" s="1026"/>
      <c r="O598" s="1026"/>
      <c r="P598" s="1026"/>
      <c r="Q598" s="1026"/>
      <c r="R598" s="1026"/>
      <c r="S598" s="1026"/>
      <c r="T598" s="1026"/>
      <c r="U598" s="1026"/>
      <c r="V598" s="1026"/>
      <c r="W598" s="1026"/>
      <c r="X598" s="1026"/>
      <c r="Y598" s="1026"/>
      <c r="Z598" s="1026"/>
    </row>
    <row r="599" spans="1:26">
      <c r="A599" s="1026"/>
      <c r="B599" s="1026"/>
      <c r="C599" s="1026"/>
      <c r="D599" s="1026"/>
      <c r="E599" s="1026"/>
      <c r="F599" s="1026"/>
      <c r="G599" s="1026"/>
      <c r="H599" s="1026"/>
      <c r="I599" s="1026"/>
      <c r="J599" s="1026"/>
      <c r="K599" s="1026"/>
      <c r="L599" s="1026"/>
      <c r="M599" s="1026"/>
      <c r="N599" s="1026"/>
      <c r="O599" s="1026"/>
      <c r="P599" s="1026"/>
      <c r="Q599" s="1026"/>
      <c r="R599" s="1026"/>
      <c r="S599" s="1026"/>
      <c r="T599" s="1026"/>
      <c r="U599" s="1026"/>
      <c r="V599" s="1026"/>
      <c r="W599" s="1026"/>
      <c r="X599" s="1026"/>
      <c r="Y599" s="1026"/>
      <c r="Z599" s="1026"/>
    </row>
    <row r="600" spans="1:26">
      <c r="A600" s="1026"/>
      <c r="B600" s="1026"/>
      <c r="C600" s="1026"/>
      <c r="D600" s="1026"/>
      <c r="E600" s="1026"/>
      <c r="F600" s="1026"/>
      <c r="G600" s="1026"/>
      <c r="H600" s="1026"/>
      <c r="I600" s="1026"/>
      <c r="J600" s="1026"/>
      <c r="K600" s="1026"/>
      <c r="L600" s="1026"/>
      <c r="M600" s="1026"/>
      <c r="N600" s="1026"/>
      <c r="O600" s="1026"/>
      <c r="P600" s="1026"/>
      <c r="Q600" s="1026"/>
      <c r="R600" s="1026"/>
      <c r="S600" s="1026"/>
      <c r="T600" s="1026"/>
      <c r="U600" s="1026"/>
      <c r="V600" s="1026"/>
      <c r="W600" s="1026"/>
      <c r="X600" s="1026"/>
      <c r="Y600" s="1026"/>
      <c r="Z600" s="1026"/>
    </row>
    <row r="601" spans="1:26">
      <c r="A601" s="1026"/>
      <c r="B601" s="1026"/>
      <c r="C601" s="1026"/>
      <c r="D601" s="1026"/>
      <c r="E601" s="1026"/>
      <c r="F601" s="1026"/>
      <c r="G601" s="1026"/>
      <c r="H601" s="1026"/>
      <c r="I601" s="1026"/>
      <c r="J601" s="1026"/>
      <c r="K601" s="1026"/>
      <c r="L601" s="1026"/>
      <c r="M601" s="1026"/>
      <c r="N601" s="1026"/>
      <c r="O601" s="1026"/>
      <c r="P601" s="1026"/>
      <c r="Q601" s="1026"/>
      <c r="R601" s="1026"/>
      <c r="S601" s="1026"/>
      <c r="T601" s="1026"/>
      <c r="U601" s="1026"/>
      <c r="V601" s="1026"/>
      <c r="W601" s="1026"/>
      <c r="X601" s="1026"/>
      <c r="Y601" s="1026"/>
      <c r="Z601" s="1026"/>
    </row>
    <row r="602" spans="1:26">
      <c r="A602" s="1026"/>
      <c r="B602" s="1026"/>
      <c r="C602" s="1026"/>
      <c r="D602" s="1026"/>
      <c r="E602" s="1026"/>
      <c r="F602" s="1026"/>
      <c r="G602" s="1026"/>
      <c r="H602" s="1026"/>
      <c r="I602" s="1026"/>
      <c r="J602" s="1026"/>
      <c r="K602" s="1026"/>
      <c r="L602" s="1026"/>
      <c r="M602" s="1026"/>
      <c r="N602" s="1026"/>
      <c r="O602" s="1026"/>
      <c r="P602" s="1026"/>
      <c r="Q602" s="1026"/>
      <c r="R602" s="1026"/>
      <c r="S602" s="1026"/>
      <c r="T602" s="1026"/>
      <c r="U602" s="1026"/>
      <c r="V602" s="1026"/>
      <c r="W602" s="1026"/>
      <c r="X602" s="1026"/>
      <c r="Y602" s="1026"/>
      <c r="Z602" s="1026"/>
    </row>
    <row r="603" spans="1:26">
      <c r="A603" s="1026"/>
      <c r="B603" s="1026"/>
      <c r="C603" s="1026"/>
      <c r="D603" s="1026"/>
      <c r="E603" s="1026"/>
      <c r="F603" s="1026"/>
      <c r="G603" s="1026"/>
      <c r="H603" s="1026"/>
      <c r="I603" s="1026"/>
      <c r="J603" s="1026"/>
      <c r="K603" s="1026"/>
      <c r="L603" s="1026"/>
      <c r="M603" s="1026"/>
      <c r="N603" s="1026"/>
      <c r="O603" s="1026"/>
      <c r="P603" s="1026"/>
      <c r="Q603" s="1026"/>
      <c r="R603" s="1026"/>
      <c r="S603" s="1026"/>
      <c r="T603" s="1026"/>
      <c r="U603" s="1026"/>
      <c r="V603" s="1026"/>
      <c r="W603" s="1026"/>
      <c r="X603" s="1026"/>
      <c r="Y603" s="1026"/>
      <c r="Z603" s="1026"/>
    </row>
    <row r="604" spans="1:26">
      <c r="A604" s="1026"/>
      <c r="B604" s="1026"/>
      <c r="C604" s="1026"/>
      <c r="D604" s="1026"/>
      <c r="E604" s="1026"/>
      <c r="F604" s="1026"/>
      <c r="G604" s="1026"/>
      <c r="H604" s="1026"/>
      <c r="I604" s="1026"/>
      <c r="J604" s="1026"/>
      <c r="K604" s="1026"/>
      <c r="L604" s="1026"/>
      <c r="M604" s="1026"/>
      <c r="N604" s="1026"/>
      <c r="O604" s="1026"/>
      <c r="P604" s="1026"/>
      <c r="Q604" s="1026"/>
      <c r="R604" s="1026"/>
      <c r="S604" s="1026"/>
      <c r="T604" s="1026"/>
      <c r="U604" s="1026"/>
      <c r="V604" s="1026"/>
      <c r="W604" s="1026"/>
      <c r="X604" s="1026"/>
      <c r="Y604" s="1026"/>
      <c r="Z604" s="1026"/>
    </row>
    <row r="605" spans="1:26">
      <c r="A605" s="1026"/>
      <c r="B605" s="1026"/>
      <c r="C605" s="1026"/>
      <c r="D605" s="1026"/>
      <c r="E605" s="1026"/>
      <c r="F605" s="1026"/>
      <c r="G605" s="1026"/>
      <c r="H605" s="1026"/>
      <c r="I605" s="1026"/>
      <c r="J605" s="1026"/>
      <c r="K605" s="1026"/>
      <c r="L605" s="1026"/>
      <c r="M605" s="1026"/>
      <c r="N605" s="1026"/>
      <c r="O605" s="1026"/>
      <c r="P605" s="1026"/>
      <c r="Q605" s="1026"/>
      <c r="R605" s="1026"/>
      <c r="S605" s="1026"/>
      <c r="T605" s="1026"/>
      <c r="U605" s="1026"/>
      <c r="V605" s="1026"/>
      <c r="W605" s="1026"/>
      <c r="X605" s="1026"/>
      <c r="Y605" s="1026"/>
      <c r="Z605" s="1026"/>
    </row>
    <row r="606" spans="1:26">
      <c r="A606" s="1026"/>
      <c r="B606" s="1026"/>
      <c r="C606" s="1026"/>
      <c r="D606" s="1026"/>
      <c r="E606" s="1026"/>
      <c r="F606" s="1026"/>
      <c r="G606" s="1026"/>
      <c r="H606" s="1026"/>
      <c r="I606" s="1026"/>
      <c r="J606" s="1026"/>
      <c r="K606" s="1026"/>
      <c r="L606" s="1026"/>
      <c r="M606" s="1026"/>
      <c r="N606" s="1026"/>
      <c r="O606" s="1026"/>
      <c r="P606" s="1026"/>
      <c r="Q606" s="1026"/>
      <c r="R606" s="1026"/>
      <c r="S606" s="1026"/>
      <c r="T606" s="1026"/>
      <c r="U606" s="1026"/>
      <c r="V606" s="1026"/>
      <c r="W606" s="1026"/>
      <c r="X606" s="1026"/>
      <c r="Y606" s="1026"/>
      <c r="Z606" s="1026"/>
    </row>
    <row r="607" spans="1:26">
      <c r="A607" s="1026"/>
      <c r="B607" s="1026"/>
      <c r="C607" s="1026"/>
      <c r="D607" s="1026"/>
      <c r="E607" s="1026"/>
      <c r="F607" s="1026"/>
      <c r="G607" s="1026"/>
      <c r="H607" s="1026"/>
      <c r="I607" s="1026"/>
      <c r="J607" s="1026"/>
      <c r="K607" s="1026"/>
      <c r="L607" s="1026"/>
      <c r="M607" s="1026"/>
      <c r="N607" s="1026"/>
      <c r="O607" s="1026"/>
      <c r="P607" s="1026"/>
      <c r="Q607" s="1026"/>
      <c r="R607" s="1026"/>
      <c r="S607" s="1026"/>
      <c r="T607" s="1026"/>
      <c r="U607" s="1026"/>
      <c r="V607" s="1026"/>
      <c r="W607" s="1026"/>
      <c r="X607" s="1026"/>
      <c r="Y607" s="1026"/>
      <c r="Z607" s="1026"/>
    </row>
    <row r="608" spans="1:26">
      <c r="A608" s="1026"/>
      <c r="B608" s="1026"/>
      <c r="C608" s="1026"/>
      <c r="D608" s="1026"/>
      <c r="E608" s="1026"/>
      <c r="F608" s="1026"/>
      <c r="G608" s="1026"/>
      <c r="H608" s="1026"/>
      <c r="I608" s="1026"/>
      <c r="J608" s="1026"/>
      <c r="K608" s="1026"/>
      <c r="L608" s="1026"/>
      <c r="M608" s="1026"/>
      <c r="N608" s="1026"/>
      <c r="O608" s="1026"/>
      <c r="P608" s="1026"/>
      <c r="Q608" s="1026"/>
      <c r="R608" s="1026"/>
      <c r="S608" s="1026"/>
      <c r="T608" s="1026"/>
      <c r="U608" s="1026"/>
      <c r="V608" s="1026"/>
      <c r="W608" s="1026"/>
      <c r="X608" s="1026"/>
      <c r="Y608" s="1026"/>
      <c r="Z608" s="1026"/>
    </row>
    <row r="609" spans="1:26">
      <c r="A609" s="1026"/>
      <c r="B609" s="1026"/>
      <c r="C609" s="1026"/>
      <c r="D609" s="1026"/>
      <c r="E609" s="1026"/>
      <c r="F609" s="1026"/>
      <c r="G609" s="1026"/>
      <c r="H609" s="1026"/>
      <c r="I609" s="1026"/>
      <c r="J609" s="1026"/>
      <c r="K609" s="1026"/>
      <c r="L609" s="1026"/>
      <c r="M609" s="1026"/>
      <c r="N609" s="1026"/>
      <c r="O609" s="1026"/>
      <c r="P609" s="1026"/>
      <c r="Q609" s="1026"/>
      <c r="R609" s="1026"/>
      <c r="S609" s="1026"/>
      <c r="T609" s="1026"/>
      <c r="U609" s="1026"/>
      <c r="V609" s="1026"/>
      <c r="W609" s="1026"/>
      <c r="X609" s="1026"/>
      <c r="Y609" s="1026"/>
      <c r="Z609" s="1026"/>
    </row>
    <row r="610" spans="1:26">
      <c r="A610" s="1026"/>
      <c r="B610" s="1026"/>
      <c r="C610" s="1026"/>
      <c r="D610" s="1026"/>
      <c r="E610" s="1026"/>
      <c r="F610" s="1026"/>
      <c r="G610" s="1026"/>
      <c r="H610" s="1026"/>
      <c r="I610" s="1026"/>
      <c r="J610" s="1026"/>
      <c r="K610" s="1026"/>
      <c r="L610" s="1026"/>
      <c r="M610" s="1026"/>
      <c r="N610" s="1026"/>
      <c r="O610" s="1026"/>
      <c r="P610" s="1026"/>
      <c r="Q610" s="1026"/>
      <c r="R610" s="1026"/>
      <c r="S610" s="1026"/>
      <c r="T610" s="1026"/>
      <c r="U610" s="1026"/>
      <c r="V610" s="1026"/>
      <c r="W610" s="1026"/>
      <c r="X610" s="1026"/>
      <c r="Y610" s="1026"/>
      <c r="Z610" s="1026"/>
    </row>
    <row r="611" spans="1:26">
      <c r="A611" s="1026"/>
      <c r="B611" s="1026"/>
      <c r="C611" s="1026"/>
      <c r="D611" s="1026"/>
      <c r="E611" s="1026"/>
      <c r="F611" s="1026"/>
      <c r="G611" s="1026"/>
      <c r="H611" s="1026"/>
      <c r="I611" s="1026"/>
      <c r="J611" s="1026"/>
      <c r="K611" s="1026"/>
      <c r="L611" s="1026"/>
      <c r="M611" s="1026"/>
      <c r="N611" s="1026"/>
      <c r="O611" s="1026"/>
      <c r="P611" s="1026"/>
      <c r="Q611" s="1026"/>
      <c r="R611" s="1026"/>
      <c r="S611" s="1026"/>
      <c r="T611" s="1026"/>
      <c r="U611" s="1026"/>
      <c r="V611" s="1026"/>
      <c r="W611" s="1026"/>
      <c r="X611" s="1026"/>
      <c r="Y611" s="1026"/>
      <c r="Z611" s="1026"/>
    </row>
    <row r="612" spans="1:26">
      <c r="A612" s="1026"/>
      <c r="B612" s="1026"/>
      <c r="C612" s="1026"/>
      <c r="D612" s="1026"/>
      <c r="E612" s="1026"/>
      <c r="F612" s="1026"/>
      <c r="G612" s="1026"/>
      <c r="H612" s="1026"/>
      <c r="I612" s="1026"/>
      <c r="J612" s="1026"/>
      <c r="K612" s="1026"/>
      <c r="L612" s="1026"/>
      <c r="M612" s="1026"/>
      <c r="N612" s="1026"/>
      <c r="O612" s="1026"/>
      <c r="P612" s="1026"/>
      <c r="Q612" s="1026"/>
      <c r="R612" s="1026"/>
      <c r="S612" s="1026"/>
      <c r="T612" s="1026"/>
      <c r="U612" s="1026"/>
      <c r="V612" s="1026"/>
      <c r="W612" s="1026"/>
      <c r="X612" s="1026"/>
      <c r="Y612" s="1026"/>
      <c r="Z612" s="1026"/>
    </row>
    <row r="613" spans="1:26">
      <c r="A613" s="1026"/>
      <c r="B613" s="1026"/>
      <c r="C613" s="1026"/>
      <c r="D613" s="1026"/>
      <c r="E613" s="1026"/>
      <c r="F613" s="1026"/>
      <c r="G613" s="1026"/>
      <c r="H613" s="1026"/>
      <c r="I613" s="1026"/>
      <c r="J613" s="1026"/>
      <c r="K613" s="1026"/>
      <c r="L613" s="1026"/>
      <c r="M613" s="1026"/>
      <c r="N613" s="1026"/>
      <c r="O613" s="1026"/>
      <c r="P613" s="1026"/>
      <c r="Q613" s="1026"/>
      <c r="R613" s="1026"/>
      <c r="S613" s="1026"/>
      <c r="T613" s="1026"/>
      <c r="U613" s="1026"/>
      <c r="V613" s="1026"/>
      <c r="W613" s="1026"/>
      <c r="X613" s="1026"/>
      <c r="Y613" s="1026"/>
      <c r="Z613" s="1026"/>
    </row>
    <row r="614" spans="1:26">
      <c r="A614" s="1026"/>
      <c r="B614" s="1026"/>
      <c r="C614" s="1026"/>
      <c r="D614" s="1026"/>
      <c r="E614" s="1026"/>
      <c r="F614" s="1026"/>
      <c r="G614" s="1026"/>
      <c r="H614" s="1026"/>
      <c r="I614" s="1026"/>
      <c r="J614" s="1026"/>
      <c r="K614" s="1026"/>
      <c r="L614" s="1026"/>
      <c r="M614" s="1026"/>
      <c r="N614" s="1026"/>
      <c r="O614" s="1026"/>
      <c r="P614" s="1026"/>
      <c r="Q614" s="1026"/>
      <c r="R614" s="1026"/>
      <c r="S614" s="1026"/>
      <c r="T614" s="1026"/>
      <c r="U614" s="1026"/>
      <c r="V614" s="1026"/>
      <c r="W614" s="1026"/>
      <c r="X614" s="1026"/>
      <c r="Y614" s="1026"/>
      <c r="Z614" s="1026"/>
    </row>
    <row r="615" spans="1:26">
      <c r="A615" s="1026"/>
      <c r="B615" s="1026"/>
      <c r="C615" s="1026"/>
      <c r="D615" s="1026"/>
      <c r="E615" s="1026"/>
      <c r="F615" s="1026"/>
      <c r="G615" s="1026"/>
      <c r="H615" s="1026"/>
      <c r="I615" s="1026"/>
      <c r="J615" s="1026"/>
      <c r="K615" s="1026"/>
      <c r="L615" s="1026"/>
      <c r="M615" s="1026"/>
      <c r="N615" s="1026"/>
      <c r="O615" s="1026"/>
      <c r="P615" s="1026"/>
      <c r="Q615" s="1026"/>
      <c r="R615" s="1026"/>
      <c r="S615" s="1026"/>
      <c r="T615" s="1026"/>
      <c r="U615" s="1026"/>
      <c r="V615" s="1026"/>
      <c r="W615" s="1026"/>
      <c r="X615" s="1026"/>
      <c r="Y615" s="1026"/>
      <c r="Z615" s="1026"/>
    </row>
    <row r="616" spans="1:26">
      <c r="A616" s="1026"/>
      <c r="B616" s="1026"/>
      <c r="C616" s="1026"/>
      <c r="D616" s="1026"/>
      <c r="E616" s="1026"/>
      <c r="F616" s="1026"/>
      <c r="G616" s="1026"/>
      <c r="H616" s="1026"/>
      <c r="I616" s="1026"/>
      <c r="J616" s="1026"/>
      <c r="K616" s="1026"/>
      <c r="L616" s="1026"/>
      <c r="M616" s="1026"/>
      <c r="N616" s="1026"/>
      <c r="O616" s="1026"/>
      <c r="P616" s="1026"/>
      <c r="Q616" s="1026"/>
      <c r="R616" s="1026"/>
      <c r="S616" s="1026"/>
      <c r="T616" s="1026"/>
      <c r="U616" s="1026"/>
      <c r="V616" s="1026"/>
      <c r="W616" s="1026"/>
      <c r="X616" s="1026"/>
      <c r="Y616" s="1026"/>
      <c r="Z616" s="1026"/>
    </row>
    <row r="617" spans="1:26">
      <c r="A617" s="1026"/>
      <c r="B617" s="1026"/>
      <c r="C617" s="1026"/>
      <c r="D617" s="1026"/>
      <c r="E617" s="1026"/>
      <c r="F617" s="1026"/>
      <c r="G617" s="1026"/>
      <c r="H617" s="1026"/>
      <c r="I617" s="1026"/>
      <c r="J617" s="1026"/>
      <c r="K617" s="1026"/>
      <c r="L617" s="1026"/>
      <c r="M617" s="1026"/>
      <c r="N617" s="1026"/>
      <c r="O617" s="1026"/>
      <c r="P617" s="1026"/>
      <c r="Q617" s="1026"/>
      <c r="R617" s="1026"/>
      <c r="S617" s="1026"/>
      <c r="T617" s="1026"/>
      <c r="U617" s="1026"/>
      <c r="V617" s="1026"/>
      <c r="W617" s="1026"/>
      <c r="X617" s="1026"/>
      <c r="Y617" s="1026"/>
      <c r="Z617" s="1026"/>
    </row>
    <row r="618" spans="1:26">
      <c r="A618" s="1026"/>
      <c r="B618" s="1026"/>
      <c r="C618" s="1026"/>
      <c r="D618" s="1026"/>
      <c r="E618" s="1026"/>
      <c r="F618" s="1026"/>
      <c r="G618" s="1026"/>
      <c r="H618" s="1026"/>
      <c r="I618" s="1026"/>
      <c r="J618" s="1026"/>
      <c r="K618" s="1026"/>
      <c r="L618" s="1026"/>
      <c r="M618" s="1026"/>
      <c r="N618" s="1026"/>
      <c r="O618" s="1026"/>
      <c r="P618" s="1026"/>
      <c r="Q618" s="1026"/>
      <c r="R618" s="1026"/>
      <c r="S618" s="1026"/>
      <c r="T618" s="1026"/>
      <c r="U618" s="1026"/>
      <c r="V618" s="1026"/>
      <c r="W618" s="1026"/>
      <c r="X618" s="1026"/>
      <c r="Y618" s="1026"/>
      <c r="Z618" s="1026"/>
    </row>
    <row r="619" spans="1:26">
      <c r="A619" s="1026"/>
      <c r="B619" s="1026"/>
      <c r="C619" s="1026"/>
      <c r="D619" s="1026"/>
      <c r="E619" s="1026"/>
      <c r="F619" s="1026"/>
      <c r="G619" s="1026"/>
      <c r="H619" s="1026"/>
      <c r="I619" s="1026"/>
      <c r="J619" s="1026"/>
      <c r="K619" s="1026"/>
      <c r="L619" s="1026"/>
      <c r="M619" s="1026"/>
      <c r="N619" s="1026"/>
      <c r="O619" s="1026"/>
      <c r="P619" s="1026"/>
      <c r="Q619" s="1026"/>
      <c r="R619" s="1026"/>
      <c r="S619" s="1026"/>
      <c r="T619" s="1026"/>
      <c r="U619" s="1026"/>
      <c r="V619" s="1026"/>
      <c r="W619" s="1026"/>
      <c r="X619" s="1026"/>
      <c r="Y619" s="1026"/>
      <c r="Z619" s="1026"/>
    </row>
    <row r="620" spans="1:26">
      <c r="A620" s="1026"/>
      <c r="B620" s="1026"/>
      <c r="C620" s="1026"/>
      <c r="D620" s="1026"/>
      <c r="E620" s="1026"/>
      <c r="F620" s="1026"/>
      <c r="G620" s="1026"/>
      <c r="H620" s="1026"/>
      <c r="I620" s="1026"/>
      <c r="J620" s="1026"/>
      <c r="K620" s="1026"/>
      <c r="L620" s="1026"/>
      <c r="M620" s="1026"/>
      <c r="N620" s="1026"/>
      <c r="O620" s="1026"/>
      <c r="P620" s="1026"/>
      <c r="Q620" s="1026"/>
      <c r="R620" s="1026"/>
      <c r="S620" s="1026"/>
      <c r="T620" s="1026"/>
      <c r="U620" s="1026"/>
      <c r="V620" s="1026"/>
      <c r="W620" s="1026"/>
      <c r="X620" s="1026"/>
      <c r="Y620" s="1026"/>
      <c r="Z620" s="1026"/>
    </row>
    <row r="621" spans="1:26">
      <c r="A621" s="1026"/>
      <c r="B621" s="1026"/>
      <c r="C621" s="1026"/>
      <c r="D621" s="1026"/>
      <c r="E621" s="1026"/>
      <c r="F621" s="1026"/>
      <c r="G621" s="1026"/>
      <c r="H621" s="1026"/>
      <c r="I621" s="1026"/>
      <c r="J621" s="1026"/>
      <c r="K621" s="1026"/>
      <c r="L621" s="1026"/>
      <c r="M621" s="1026"/>
      <c r="N621" s="1026"/>
      <c r="O621" s="1026"/>
      <c r="P621" s="1026"/>
      <c r="Q621" s="1026"/>
      <c r="R621" s="1026"/>
      <c r="S621" s="1026"/>
      <c r="T621" s="1026"/>
      <c r="U621" s="1026"/>
      <c r="V621" s="1026"/>
      <c r="W621" s="1026"/>
      <c r="X621" s="1026"/>
      <c r="Y621" s="1026"/>
      <c r="Z621" s="1026"/>
    </row>
    <row r="622" spans="1:26">
      <c r="A622" s="1026"/>
      <c r="B622" s="1026"/>
      <c r="C622" s="1026"/>
      <c r="D622" s="1026"/>
      <c r="E622" s="1026"/>
      <c r="F622" s="1026"/>
      <c r="G622" s="1026"/>
      <c r="H622" s="1026"/>
      <c r="I622" s="1026"/>
      <c r="J622" s="1026"/>
      <c r="K622" s="1026"/>
      <c r="L622" s="1026"/>
      <c r="M622" s="1026"/>
      <c r="N622" s="1026"/>
      <c r="O622" s="1026"/>
      <c r="P622" s="1026"/>
      <c r="Q622" s="1026"/>
      <c r="R622" s="1026"/>
      <c r="S622" s="1026"/>
      <c r="T622" s="1026"/>
      <c r="U622" s="1026"/>
      <c r="V622" s="1026"/>
      <c r="W622" s="1026"/>
      <c r="X622" s="1026"/>
      <c r="Y622" s="1026"/>
      <c r="Z622" s="1026"/>
    </row>
    <row r="623" spans="1:26">
      <c r="A623" s="1026"/>
      <c r="B623" s="1026"/>
      <c r="C623" s="1026"/>
      <c r="D623" s="1026"/>
      <c r="E623" s="1026"/>
      <c r="F623" s="1026"/>
      <c r="G623" s="1026"/>
      <c r="H623" s="1026"/>
      <c r="I623" s="1026"/>
      <c r="J623" s="1026"/>
      <c r="K623" s="1026"/>
      <c r="L623" s="1026"/>
      <c r="M623" s="1026"/>
      <c r="N623" s="1026"/>
      <c r="O623" s="1026"/>
      <c r="P623" s="1026"/>
      <c r="Q623" s="1026"/>
      <c r="R623" s="1026"/>
      <c r="S623" s="1026"/>
      <c r="T623" s="1026"/>
      <c r="U623" s="1026"/>
      <c r="V623" s="1026"/>
      <c r="W623" s="1026"/>
      <c r="X623" s="1026"/>
      <c r="Y623" s="1026"/>
      <c r="Z623" s="1026"/>
    </row>
    <row r="624" spans="1:26">
      <c r="A624" s="1026"/>
      <c r="B624" s="1026"/>
      <c r="C624" s="1026"/>
      <c r="D624" s="1026"/>
      <c r="E624" s="1026"/>
      <c r="F624" s="1026"/>
      <c r="G624" s="1026"/>
      <c r="H624" s="1026"/>
      <c r="I624" s="1026"/>
      <c r="J624" s="1026"/>
      <c r="K624" s="1026"/>
      <c r="L624" s="1026"/>
      <c r="M624" s="1026"/>
      <c r="N624" s="1026"/>
      <c r="O624" s="1026"/>
      <c r="P624" s="1026"/>
      <c r="Q624" s="1026"/>
      <c r="R624" s="1026"/>
      <c r="S624" s="1026"/>
      <c r="T624" s="1026"/>
      <c r="U624" s="1026"/>
      <c r="V624" s="1026"/>
      <c r="W624" s="1026"/>
      <c r="X624" s="1026"/>
      <c r="Y624" s="1026"/>
      <c r="Z624" s="1026"/>
    </row>
    <row r="625" spans="1:26">
      <c r="A625" s="1026"/>
      <c r="B625" s="1026"/>
      <c r="C625" s="1026"/>
      <c r="D625" s="1026"/>
      <c r="E625" s="1026"/>
      <c r="F625" s="1026"/>
      <c r="G625" s="1026"/>
      <c r="H625" s="1026"/>
      <c r="I625" s="1026"/>
      <c r="J625" s="1026"/>
      <c r="K625" s="1026"/>
      <c r="L625" s="1026"/>
      <c r="M625" s="1026"/>
      <c r="N625" s="1026"/>
      <c r="O625" s="1026"/>
      <c r="P625" s="1026"/>
      <c r="Q625" s="1026"/>
      <c r="R625" s="1026"/>
      <c r="S625" s="1026"/>
      <c r="T625" s="1026"/>
      <c r="U625" s="1026"/>
      <c r="V625" s="1026"/>
      <c r="W625" s="1026"/>
      <c r="X625" s="1026"/>
      <c r="Y625" s="1026"/>
      <c r="Z625" s="1026"/>
    </row>
    <row r="626" spans="1:26">
      <c r="A626" s="1026"/>
      <c r="B626" s="1026"/>
      <c r="C626" s="1026"/>
      <c r="D626" s="1026"/>
      <c r="E626" s="1026"/>
      <c r="F626" s="1026"/>
      <c r="G626" s="1026"/>
      <c r="H626" s="1026"/>
      <c r="I626" s="1026"/>
      <c r="J626" s="1026"/>
      <c r="K626" s="1026"/>
      <c r="L626" s="1026"/>
      <c r="M626" s="1026"/>
      <c r="N626" s="1026"/>
      <c r="O626" s="1026"/>
      <c r="P626" s="1026"/>
      <c r="Q626" s="1026"/>
      <c r="R626" s="1026"/>
      <c r="S626" s="1026"/>
      <c r="T626" s="1026"/>
      <c r="U626" s="1026"/>
      <c r="V626" s="1026"/>
      <c r="W626" s="1026"/>
      <c r="X626" s="1026"/>
      <c r="Y626" s="1026"/>
      <c r="Z626" s="1026"/>
    </row>
    <row r="627" spans="1:26">
      <c r="A627" s="1026"/>
      <c r="B627" s="1026"/>
      <c r="C627" s="1026"/>
      <c r="D627" s="1026"/>
      <c r="E627" s="1026"/>
      <c r="F627" s="1026"/>
      <c r="G627" s="1026"/>
      <c r="H627" s="1026"/>
      <c r="I627" s="1026"/>
      <c r="J627" s="1026"/>
      <c r="K627" s="1026"/>
      <c r="L627" s="1026"/>
      <c r="M627" s="1026"/>
      <c r="N627" s="1026"/>
      <c r="O627" s="1026"/>
      <c r="P627" s="1026"/>
      <c r="Q627" s="1026"/>
      <c r="R627" s="1026"/>
      <c r="S627" s="1026"/>
      <c r="T627" s="1026"/>
      <c r="U627" s="1026"/>
      <c r="V627" s="1026"/>
      <c r="W627" s="1026"/>
      <c r="X627" s="1026"/>
      <c r="Y627" s="1026"/>
      <c r="Z627" s="1026"/>
    </row>
    <row r="628" spans="1:26">
      <c r="A628" s="1026"/>
      <c r="B628" s="1026"/>
      <c r="C628" s="1026"/>
      <c r="D628" s="1026"/>
      <c r="E628" s="1026"/>
      <c r="F628" s="1026"/>
      <c r="G628" s="1026"/>
      <c r="H628" s="1026"/>
      <c r="I628" s="1026"/>
      <c r="J628" s="1026"/>
      <c r="K628" s="1026"/>
      <c r="L628" s="1026"/>
      <c r="M628" s="1026"/>
      <c r="N628" s="1026"/>
      <c r="O628" s="1026"/>
      <c r="P628" s="1026"/>
      <c r="Q628" s="1026"/>
      <c r="R628" s="1026"/>
      <c r="S628" s="1026"/>
      <c r="T628" s="1026"/>
      <c r="U628" s="1026"/>
      <c r="V628" s="1026"/>
      <c r="W628" s="1026"/>
      <c r="X628" s="1026"/>
      <c r="Y628" s="1026"/>
      <c r="Z628" s="1026"/>
    </row>
    <row r="629" spans="1:26">
      <c r="A629" s="1026"/>
      <c r="B629" s="1026"/>
      <c r="C629" s="1026"/>
      <c r="D629" s="1026"/>
      <c r="E629" s="1026"/>
      <c r="F629" s="1026"/>
      <c r="G629" s="1026"/>
      <c r="H629" s="1026"/>
      <c r="I629" s="1026"/>
      <c r="J629" s="1026"/>
      <c r="K629" s="1026"/>
      <c r="L629" s="1026"/>
      <c r="M629" s="1026"/>
      <c r="N629" s="1026"/>
      <c r="O629" s="1026"/>
      <c r="P629" s="1026"/>
      <c r="Q629" s="1026"/>
      <c r="R629" s="1026"/>
      <c r="S629" s="1026"/>
      <c r="T629" s="1026"/>
      <c r="U629" s="1026"/>
      <c r="V629" s="1026"/>
      <c r="W629" s="1026"/>
      <c r="X629" s="1026"/>
      <c r="Y629" s="1026"/>
      <c r="Z629" s="1026"/>
    </row>
    <row r="630" spans="1:26">
      <c r="A630" s="1026"/>
      <c r="B630" s="1026"/>
      <c r="C630" s="1026"/>
      <c r="D630" s="1026"/>
      <c r="E630" s="1026"/>
      <c r="F630" s="1026"/>
      <c r="G630" s="1026"/>
      <c r="H630" s="1026"/>
      <c r="I630" s="1026"/>
      <c r="J630" s="1026"/>
      <c r="K630" s="1026"/>
      <c r="L630" s="1026"/>
      <c r="M630" s="1026"/>
      <c r="N630" s="1026"/>
      <c r="O630" s="1026"/>
      <c r="P630" s="1026"/>
      <c r="Q630" s="1026"/>
      <c r="R630" s="1026"/>
      <c r="S630" s="1026"/>
      <c r="T630" s="1026"/>
      <c r="U630" s="1026"/>
      <c r="V630" s="1026"/>
      <c r="W630" s="1026"/>
      <c r="X630" s="1026"/>
      <c r="Y630" s="1026"/>
      <c r="Z630" s="1026"/>
    </row>
    <row r="631" spans="1:26">
      <c r="A631" s="1026"/>
      <c r="B631" s="1026"/>
      <c r="C631" s="1026"/>
      <c r="D631" s="1026"/>
      <c r="E631" s="1026"/>
      <c r="F631" s="1026"/>
      <c r="G631" s="1026"/>
      <c r="H631" s="1026"/>
      <c r="I631" s="1026"/>
      <c r="J631" s="1026"/>
      <c r="K631" s="1026"/>
      <c r="L631" s="1026"/>
      <c r="M631" s="1026"/>
      <c r="N631" s="1026"/>
      <c r="O631" s="1026"/>
      <c r="P631" s="1026"/>
      <c r="Q631" s="1026"/>
      <c r="R631" s="1026"/>
      <c r="S631" s="1026"/>
      <c r="T631" s="1026"/>
      <c r="U631" s="1026"/>
      <c r="V631" s="1026"/>
      <c r="W631" s="1026"/>
      <c r="X631" s="1026"/>
      <c r="Y631" s="1026"/>
      <c r="Z631" s="1026"/>
    </row>
    <row r="632" spans="1:26">
      <c r="A632" s="1026"/>
      <c r="B632" s="1026"/>
      <c r="C632" s="1026"/>
      <c r="D632" s="1026"/>
      <c r="E632" s="1026"/>
      <c r="F632" s="1026"/>
      <c r="G632" s="1026"/>
      <c r="H632" s="1026"/>
      <c r="I632" s="1026"/>
      <c r="J632" s="1026"/>
      <c r="K632" s="1026"/>
      <c r="L632" s="1026"/>
      <c r="M632" s="1026"/>
      <c r="N632" s="1026"/>
      <c r="O632" s="1026"/>
      <c r="P632" s="1026"/>
      <c r="Q632" s="1026"/>
      <c r="R632" s="1026"/>
      <c r="S632" s="1026"/>
      <c r="T632" s="1026"/>
      <c r="U632" s="1026"/>
      <c r="V632" s="1026"/>
      <c r="W632" s="1026"/>
      <c r="X632" s="1026"/>
      <c r="Y632" s="1026"/>
      <c r="Z632" s="1026"/>
    </row>
    <row r="633" spans="1:26">
      <c r="A633" s="1026"/>
      <c r="B633" s="1026"/>
      <c r="C633" s="1026"/>
      <c r="D633" s="1026"/>
      <c r="E633" s="1026"/>
      <c r="F633" s="1026"/>
      <c r="G633" s="1026"/>
      <c r="H633" s="1026"/>
      <c r="I633" s="1026"/>
      <c r="J633" s="1026"/>
      <c r="K633" s="1026"/>
      <c r="L633" s="1026"/>
      <c r="M633" s="1026"/>
      <c r="N633" s="1026"/>
      <c r="O633" s="1026"/>
      <c r="P633" s="1026"/>
      <c r="Q633" s="1026"/>
      <c r="R633" s="1026"/>
      <c r="S633" s="1026"/>
      <c r="T633" s="1026"/>
      <c r="U633" s="1026"/>
      <c r="V633" s="1026"/>
      <c r="W633" s="1026"/>
      <c r="X633" s="1026"/>
      <c r="Y633" s="1026"/>
      <c r="Z633" s="1026"/>
    </row>
    <row r="634" spans="1:26">
      <c r="A634" s="1026"/>
      <c r="B634" s="1026"/>
      <c r="C634" s="1026"/>
      <c r="D634" s="1026"/>
      <c r="E634" s="1026"/>
      <c r="F634" s="1026"/>
      <c r="G634" s="1026"/>
      <c r="H634" s="1026"/>
      <c r="I634" s="1026"/>
      <c r="J634" s="1026"/>
      <c r="K634" s="1026"/>
      <c r="L634" s="1026"/>
      <c r="M634" s="1026"/>
      <c r="N634" s="1026"/>
      <c r="O634" s="1026"/>
      <c r="P634" s="1026"/>
      <c r="Q634" s="1026"/>
      <c r="R634" s="1026"/>
      <c r="S634" s="1026"/>
      <c r="T634" s="1026"/>
      <c r="U634" s="1026"/>
      <c r="V634" s="1026"/>
      <c r="W634" s="1026"/>
      <c r="X634" s="1026"/>
      <c r="Y634" s="1026"/>
      <c r="Z634" s="1026"/>
    </row>
    <row r="635" spans="1:26">
      <c r="A635" s="1026"/>
      <c r="B635" s="1026"/>
      <c r="C635" s="1026"/>
      <c r="D635" s="1026"/>
      <c r="E635" s="1026"/>
      <c r="F635" s="1026"/>
      <c r="G635" s="1026"/>
      <c r="H635" s="1026"/>
      <c r="I635" s="1026"/>
      <c r="J635" s="1026"/>
      <c r="K635" s="1026"/>
      <c r="L635" s="1026"/>
      <c r="M635" s="1026"/>
      <c r="N635" s="1026"/>
      <c r="O635" s="1026"/>
      <c r="P635" s="1026"/>
      <c r="Q635" s="1026"/>
      <c r="R635" s="1026"/>
      <c r="S635" s="1026"/>
      <c r="T635" s="1026"/>
      <c r="U635" s="1026"/>
      <c r="V635" s="1026"/>
      <c r="W635" s="1026"/>
      <c r="X635" s="1026"/>
      <c r="Y635" s="1026"/>
      <c r="Z635" s="1026"/>
    </row>
    <row r="636" spans="1:26">
      <c r="A636" s="1026"/>
      <c r="B636" s="1026"/>
      <c r="C636" s="1026"/>
      <c r="D636" s="1026"/>
      <c r="E636" s="1026"/>
      <c r="F636" s="1026"/>
      <c r="G636" s="1026"/>
      <c r="H636" s="1026"/>
      <c r="I636" s="1026"/>
      <c r="J636" s="1026"/>
      <c r="K636" s="1026"/>
      <c r="L636" s="1026"/>
      <c r="M636" s="1026"/>
      <c r="N636" s="1026"/>
      <c r="O636" s="1026"/>
      <c r="P636" s="1026"/>
      <c r="Q636" s="1026"/>
      <c r="R636" s="1026"/>
      <c r="S636" s="1026"/>
      <c r="T636" s="1026"/>
      <c r="U636" s="1026"/>
      <c r="V636" s="1026"/>
      <c r="W636" s="1026"/>
      <c r="X636" s="1026"/>
      <c r="Y636" s="1026"/>
      <c r="Z636" s="1026"/>
    </row>
    <row r="637" spans="1:26">
      <c r="A637" s="1026"/>
      <c r="B637" s="1026"/>
      <c r="C637" s="1026"/>
      <c r="D637" s="1026"/>
      <c r="E637" s="1026"/>
      <c r="F637" s="1026"/>
      <c r="G637" s="1026"/>
      <c r="H637" s="1026"/>
      <c r="I637" s="1026"/>
      <c r="J637" s="1026"/>
      <c r="K637" s="1026"/>
      <c r="L637" s="1026"/>
      <c r="M637" s="1026"/>
      <c r="N637" s="1026"/>
      <c r="O637" s="1026"/>
      <c r="P637" s="1026"/>
      <c r="Q637" s="1026"/>
      <c r="R637" s="1026"/>
      <c r="S637" s="1026"/>
      <c r="T637" s="1026"/>
      <c r="U637" s="1026"/>
      <c r="V637" s="1026"/>
      <c r="W637" s="1026"/>
      <c r="X637" s="1026"/>
      <c r="Y637" s="1026"/>
      <c r="Z637" s="1026"/>
    </row>
    <row r="638" spans="1:26">
      <c r="A638" s="1026"/>
      <c r="B638" s="1026"/>
      <c r="C638" s="1026"/>
      <c r="D638" s="1026"/>
      <c r="E638" s="1026"/>
      <c r="F638" s="1026"/>
      <c r="G638" s="1026"/>
      <c r="H638" s="1026"/>
      <c r="I638" s="1026"/>
      <c r="J638" s="1026"/>
      <c r="K638" s="1026"/>
      <c r="L638" s="1026"/>
      <c r="M638" s="1026"/>
      <c r="N638" s="1026"/>
      <c r="O638" s="1026"/>
      <c r="P638" s="1026"/>
      <c r="Q638" s="1026"/>
      <c r="R638" s="1026"/>
      <c r="S638" s="1026"/>
      <c r="T638" s="1026"/>
      <c r="U638" s="1026"/>
      <c r="V638" s="1026"/>
      <c r="W638" s="1026"/>
      <c r="X638" s="1026"/>
      <c r="Y638" s="1026"/>
      <c r="Z638" s="1026"/>
    </row>
    <row r="639" spans="1:26">
      <c r="A639" s="1026"/>
      <c r="B639" s="1026"/>
      <c r="C639" s="1026"/>
      <c r="D639" s="1026"/>
      <c r="E639" s="1026"/>
      <c r="F639" s="1026"/>
      <c r="G639" s="1026"/>
      <c r="H639" s="1026"/>
      <c r="I639" s="1026"/>
      <c r="J639" s="1026"/>
      <c r="K639" s="1026"/>
      <c r="L639" s="1026"/>
      <c r="M639" s="1026"/>
      <c r="N639" s="1026"/>
      <c r="O639" s="1026"/>
      <c r="P639" s="1026"/>
      <c r="Q639" s="1026"/>
      <c r="R639" s="1026"/>
      <c r="S639" s="1026"/>
      <c r="T639" s="1026"/>
      <c r="U639" s="1026"/>
      <c r="V639" s="1026"/>
      <c r="W639" s="1026"/>
      <c r="X639" s="1026"/>
      <c r="Y639" s="1026"/>
      <c r="Z639" s="1026"/>
    </row>
    <row r="640" spans="1:26">
      <c r="A640" s="1026"/>
      <c r="B640" s="1026"/>
      <c r="C640" s="1026"/>
      <c r="D640" s="1026"/>
      <c r="E640" s="1026"/>
      <c r="F640" s="1026"/>
      <c r="G640" s="1026"/>
      <c r="H640" s="1026"/>
      <c r="I640" s="1026"/>
      <c r="J640" s="1026"/>
      <c r="K640" s="1026"/>
      <c r="L640" s="1026"/>
      <c r="M640" s="1026"/>
      <c r="N640" s="1026"/>
      <c r="O640" s="1026"/>
      <c r="P640" s="1026"/>
      <c r="Q640" s="1026"/>
      <c r="R640" s="1026"/>
      <c r="S640" s="1026"/>
      <c r="T640" s="1026"/>
      <c r="U640" s="1026"/>
      <c r="V640" s="1026"/>
      <c r="W640" s="1026"/>
      <c r="X640" s="1026"/>
      <c r="Y640" s="1026"/>
      <c r="Z640" s="1026"/>
    </row>
    <row r="641" spans="1:26">
      <c r="A641" s="1026"/>
      <c r="B641" s="1026"/>
      <c r="C641" s="1026"/>
      <c r="D641" s="1026"/>
      <c r="E641" s="1026"/>
      <c r="F641" s="1026"/>
      <c r="G641" s="1026"/>
      <c r="H641" s="1026"/>
      <c r="I641" s="1026"/>
      <c r="J641" s="1026"/>
      <c r="K641" s="1026"/>
      <c r="L641" s="1026"/>
      <c r="M641" s="1026"/>
      <c r="N641" s="1026"/>
      <c r="O641" s="1026"/>
      <c r="P641" s="1026"/>
      <c r="Q641" s="1026"/>
      <c r="R641" s="1026"/>
      <c r="S641" s="1026"/>
      <c r="T641" s="1026"/>
      <c r="U641" s="1026"/>
      <c r="V641" s="1026"/>
      <c r="W641" s="1026"/>
      <c r="X641" s="1026"/>
      <c r="Y641" s="1026"/>
      <c r="Z641" s="1026"/>
    </row>
    <row r="642" spans="1:26">
      <c r="A642" s="1026"/>
      <c r="B642" s="1026"/>
      <c r="C642" s="1026"/>
      <c r="D642" s="1026"/>
      <c r="E642" s="1026"/>
      <c r="F642" s="1026"/>
      <c r="G642" s="1026"/>
      <c r="H642" s="1026"/>
      <c r="I642" s="1026"/>
      <c r="J642" s="1026"/>
      <c r="K642" s="1026"/>
      <c r="L642" s="1026"/>
      <c r="M642" s="1026"/>
      <c r="N642" s="1026"/>
      <c r="O642" s="1026"/>
      <c r="P642" s="1026"/>
      <c r="Q642" s="1026"/>
      <c r="R642" s="1026"/>
      <c r="S642" s="1026"/>
      <c r="T642" s="1026"/>
      <c r="U642" s="1026"/>
      <c r="V642" s="1026"/>
      <c r="W642" s="1026"/>
      <c r="X642" s="1026"/>
      <c r="Y642" s="1026"/>
      <c r="Z642" s="1026"/>
    </row>
    <row r="643" spans="1:26">
      <c r="A643" s="1026"/>
      <c r="B643" s="1026"/>
      <c r="C643" s="1026"/>
      <c r="D643" s="1026"/>
      <c r="E643" s="1026"/>
      <c r="F643" s="1026"/>
      <c r="G643" s="1026"/>
      <c r="H643" s="1026"/>
      <c r="I643" s="1026"/>
      <c r="J643" s="1026"/>
      <c r="K643" s="1026"/>
      <c r="L643" s="1026"/>
      <c r="M643" s="1026"/>
      <c r="N643" s="1026"/>
      <c r="O643" s="1026"/>
      <c r="P643" s="1026"/>
      <c r="Q643" s="1026"/>
      <c r="R643" s="1026"/>
      <c r="S643" s="1026"/>
      <c r="T643" s="1026"/>
      <c r="U643" s="1026"/>
      <c r="V643" s="1026"/>
      <c r="W643" s="1026"/>
      <c r="X643" s="1026"/>
      <c r="Y643" s="1026"/>
      <c r="Z643" s="1026"/>
    </row>
    <row r="644" spans="1:26">
      <c r="A644" s="1026"/>
      <c r="B644" s="1026"/>
      <c r="C644" s="1026"/>
      <c r="D644" s="1026"/>
      <c r="E644" s="1026"/>
      <c r="F644" s="1026"/>
      <c r="G644" s="1026"/>
      <c r="H644" s="1026"/>
      <c r="I644" s="1026"/>
      <c r="J644" s="1026"/>
      <c r="K644" s="1026"/>
      <c r="L644" s="1026"/>
      <c r="M644" s="1026"/>
      <c r="N644" s="1026"/>
      <c r="O644" s="1026"/>
      <c r="P644" s="1026"/>
      <c r="Q644" s="1026"/>
      <c r="R644" s="1026"/>
      <c r="S644" s="1026"/>
      <c r="T644" s="1026"/>
      <c r="U644" s="1026"/>
      <c r="V644" s="1026"/>
      <c r="W644" s="1026"/>
      <c r="X644" s="1026"/>
      <c r="Y644" s="1026"/>
      <c r="Z644" s="1026"/>
    </row>
    <row r="645" spans="1:26">
      <c r="A645" s="1026"/>
      <c r="B645" s="1026"/>
      <c r="C645" s="1026"/>
      <c r="D645" s="1026"/>
      <c r="E645" s="1026"/>
      <c r="F645" s="1026"/>
      <c r="G645" s="1026"/>
      <c r="H645" s="1026"/>
      <c r="I645" s="1026"/>
      <c r="J645" s="1026"/>
      <c r="K645" s="1026"/>
      <c r="L645" s="1026"/>
      <c r="M645" s="1026"/>
      <c r="N645" s="1026"/>
      <c r="O645" s="1026"/>
      <c r="P645" s="1026"/>
      <c r="Q645" s="1026"/>
      <c r="R645" s="1026"/>
      <c r="S645" s="1026"/>
      <c r="T645" s="1026"/>
      <c r="U645" s="1026"/>
      <c r="V645" s="1026"/>
      <c r="W645" s="1026"/>
      <c r="X645" s="1026"/>
      <c r="Y645" s="1026"/>
      <c r="Z645" s="1026"/>
    </row>
    <row r="646" spans="1:26">
      <c r="A646" s="1026"/>
      <c r="B646" s="1026"/>
      <c r="C646" s="1026"/>
      <c r="D646" s="1026"/>
      <c r="E646" s="1026"/>
      <c r="F646" s="1026"/>
      <c r="G646" s="1026"/>
      <c r="H646" s="1026"/>
      <c r="I646" s="1026"/>
      <c r="J646" s="1026"/>
      <c r="K646" s="1026"/>
      <c r="L646" s="1026"/>
      <c r="M646" s="1026"/>
      <c r="N646" s="1026"/>
      <c r="O646" s="1026"/>
      <c r="P646" s="1026"/>
      <c r="Q646" s="1026"/>
      <c r="R646" s="1026"/>
      <c r="S646" s="1026"/>
      <c r="T646" s="1026"/>
      <c r="U646" s="1026"/>
      <c r="V646" s="1026"/>
      <c r="W646" s="1026"/>
      <c r="X646" s="1026"/>
      <c r="Y646" s="1026"/>
      <c r="Z646" s="1026"/>
    </row>
    <row r="647" spans="1:26">
      <c r="A647" s="1026"/>
      <c r="B647" s="1026"/>
      <c r="C647" s="1026"/>
      <c r="D647" s="1026"/>
      <c r="E647" s="1026"/>
      <c r="F647" s="1026"/>
      <c r="G647" s="1026"/>
      <c r="H647" s="1026"/>
      <c r="I647" s="1026"/>
      <c r="J647" s="1026"/>
      <c r="K647" s="1026"/>
      <c r="L647" s="1026"/>
      <c r="M647" s="1026"/>
      <c r="N647" s="1026"/>
      <c r="O647" s="1026"/>
      <c r="P647" s="1026"/>
      <c r="Q647" s="1026"/>
      <c r="R647" s="1026"/>
      <c r="S647" s="1026"/>
      <c r="T647" s="1026"/>
      <c r="U647" s="1026"/>
      <c r="V647" s="1026"/>
      <c r="W647" s="1026"/>
      <c r="X647" s="1026"/>
      <c r="Y647" s="1026"/>
      <c r="Z647" s="1026"/>
    </row>
    <row r="648" spans="1:26">
      <c r="A648" s="1026"/>
      <c r="B648" s="1026"/>
      <c r="C648" s="1026"/>
      <c r="D648" s="1026"/>
      <c r="E648" s="1026"/>
      <c r="F648" s="1026"/>
      <c r="G648" s="1026"/>
      <c r="H648" s="1026"/>
      <c r="I648" s="1026"/>
      <c r="J648" s="1026"/>
      <c r="K648" s="1026"/>
      <c r="L648" s="1026"/>
      <c r="M648" s="1026"/>
      <c r="N648" s="1026"/>
      <c r="O648" s="1026"/>
      <c r="P648" s="1026"/>
      <c r="Q648" s="1026"/>
      <c r="R648" s="1026"/>
      <c r="S648" s="1026"/>
      <c r="T648" s="1026"/>
      <c r="U648" s="1026"/>
      <c r="V648" s="1026"/>
      <c r="W648" s="1026"/>
      <c r="X648" s="1026"/>
      <c r="Y648" s="1026"/>
      <c r="Z648" s="1026"/>
    </row>
    <row r="649" spans="1:26">
      <c r="A649" s="1026"/>
      <c r="B649" s="1026"/>
      <c r="C649" s="1026"/>
      <c r="D649" s="1026"/>
      <c r="E649" s="1026"/>
      <c r="F649" s="1026"/>
      <c r="G649" s="1026"/>
      <c r="H649" s="1026"/>
      <c r="I649" s="1026"/>
      <c r="J649" s="1026"/>
      <c r="K649" s="1026"/>
      <c r="L649" s="1026"/>
      <c r="M649" s="1026"/>
      <c r="N649" s="1026"/>
      <c r="O649" s="1026"/>
      <c r="P649" s="1026"/>
      <c r="Q649" s="1026"/>
      <c r="R649" s="1026"/>
      <c r="S649" s="1026"/>
      <c r="T649" s="1026"/>
      <c r="U649" s="1026"/>
      <c r="V649" s="1026"/>
      <c r="W649" s="1026"/>
      <c r="X649" s="1026"/>
      <c r="Y649" s="1026"/>
      <c r="Z649" s="1026"/>
    </row>
    <row r="650" spans="1:26">
      <c r="A650" s="1026"/>
      <c r="B650" s="1026"/>
      <c r="C650" s="1026"/>
      <c r="D650" s="1026"/>
      <c r="E650" s="1026"/>
      <c r="F650" s="1026"/>
      <c r="G650" s="1026"/>
      <c r="H650" s="1026"/>
      <c r="I650" s="1026"/>
      <c r="J650" s="1026"/>
      <c r="K650" s="1026"/>
      <c r="L650" s="1026"/>
      <c r="M650" s="1026"/>
      <c r="N650" s="1026"/>
      <c r="O650" s="1026"/>
      <c r="P650" s="1026"/>
      <c r="Q650" s="1026"/>
      <c r="R650" s="1026"/>
      <c r="S650" s="1026"/>
      <c r="T650" s="1026"/>
      <c r="U650" s="1026"/>
      <c r="V650" s="1026"/>
      <c r="W650" s="1026"/>
      <c r="X650" s="1026"/>
      <c r="Y650" s="1026"/>
      <c r="Z650" s="1026"/>
    </row>
    <row r="651" spans="1:26">
      <c r="A651" s="1026"/>
      <c r="B651" s="1026"/>
      <c r="C651" s="1026"/>
      <c r="D651" s="1026"/>
      <c r="E651" s="1026"/>
      <c r="F651" s="1026"/>
      <c r="G651" s="1026"/>
      <c r="H651" s="1026"/>
      <c r="I651" s="1026"/>
      <c r="J651" s="1026"/>
      <c r="K651" s="1026"/>
      <c r="L651" s="1026"/>
      <c r="M651" s="1026"/>
      <c r="N651" s="1026"/>
      <c r="O651" s="1026"/>
      <c r="P651" s="1026"/>
      <c r="Q651" s="1026"/>
      <c r="R651" s="1026"/>
      <c r="S651" s="1026"/>
      <c r="T651" s="1026"/>
      <c r="U651" s="1026"/>
      <c r="V651" s="1026"/>
      <c r="W651" s="1026"/>
      <c r="X651" s="1026"/>
      <c r="Y651" s="1026"/>
      <c r="Z651" s="1026"/>
    </row>
    <row r="652" spans="1:26">
      <c r="A652" s="1026"/>
      <c r="B652" s="1026"/>
      <c r="C652" s="1026"/>
      <c r="D652" s="1026"/>
      <c r="E652" s="1026"/>
      <c r="F652" s="1026"/>
      <c r="G652" s="1026"/>
      <c r="H652" s="1026"/>
      <c r="I652" s="1026"/>
      <c r="J652" s="1026"/>
      <c r="K652" s="1026"/>
      <c r="L652" s="1026"/>
      <c r="M652" s="1026"/>
      <c r="N652" s="1026"/>
      <c r="O652" s="1026"/>
      <c r="P652" s="1026"/>
      <c r="Q652" s="1026"/>
      <c r="R652" s="1026"/>
      <c r="S652" s="1026"/>
      <c r="T652" s="1026"/>
      <c r="U652" s="1026"/>
      <c r="V652" s="1026"/>
      <c r="W652" s="1026"/>
      <c r="X652" s="1026"/>
      <c r="Y652" s="1026"/>
      <c r="Z652" s="1026"/>
    </row>
    <row r="653" spans="1:26">
      <c r="A653" s="1026"/>
      <c r="B653" s="1026"/>
      <c r="C653" s="1026"/>
      <c r="D653" s="1026"/>
      <c r="E653" s="1026"/>
      <c r="F653" s="1026"/>
      <c r="G653" s="1026"/>
      <c r="H653" s="1026"/>
      <c r="I653" s="1026"/>
      <c r="J653" s="1026"/>
      <c r="K653" s="1026"/>
      <c r="L653" s="1026"/>
      <c r="M653" s="1026"/>
      <c r="N653" s="1026"/>
      <c r="O653" s="1026"/>
      <c r="P653" s="1026"/>
      <c r="Q653" s="1026"/>
      <c r="R653" s="1026"/>
      <c r="S653" s="1026"/>
      <c r="T653" s="1026"/>
      <c r="U653" s="1026"/>
      <c r="V653" s="1026"/>
      <c r="W653" s="1026"/>
      <c r="X653" s="1026"/>
      <c r="Y653" s="1026"/>
      <c r="Z653" s="1026"/>
    </row>
    <row r="654" spans="1:26">
      <c r="A654" s="1026"/>
      <c r="B654" s="1026"/>
      <c r="C654" s="1026"/>
      <c r="D654" s="1026"/>
      <c r="E654" s="1026"/>
      <c r="F654" s="1026"/>
      <c r="G654" s="1026"/>
      <c r="H654" s="1026"/>
      <c r="I654" s="1026"/>
      <c r="J654" s="1026"/>
      <c r="K654" s="1026"/>
      <c r="L654" s="1026"/>
      <c r="M654" s="1026"/>
      <c r="N654" s="1026"/>
      <c r="O654" s="1026"/>
      <c r="P654" s="1026"/>
      <c r="Q654" s="1026"/>
      <c r="R654" s="1026"/>
      <c r="S654" s="1026"/>
      <c r="T654" s="1026"/>
      <c r="U654" s="1026"/>
      <c r="V654" s="1026"/>
      <c r="W654" s="1026"/>
      <c r="X654" s="1026"/>
      <c r="Y654" s="1026"/>
      <c r="Z654" s="1026"/>
    </row>
    <row r="655" spans="1:26">
      <c r="A655" s="1026"/>
      <c r="B655" s="1026"/>
      <c r="C655" s="1026"/>
      <c r="D655" s="1026"/>
      <c r="E655" s="1026"/>
      <c r="F655" s="1026"/>
      <c r="G655" s="1026"/>
      <c r="H655" s="1026"/>
      <c r="I655" s="1026"/>
      <c r="J655" s="1026"/>
      <c r="K655" s="1026"/>
      <c r="L655" s="1026"/>
      <c r="M655" s="1026"/>
      <c r="N655" s="1026"/>
      <c r="O655" s="1026"/>
      <c r="P655" s="1026"/>
      <c r="Q655" s="1026"/>
      <c r="R655" s="1026"/>
      <c r="S655" s="1026"/>
      <c r="T655" s="1026"/>
      <c r="U655" s="1026"/>
      <c r="V655" s="1026"/>
      <c r="W655" s="1026"/>
      <c r="X655" s="1026"/>
      <c r="Y655" s="1026"/>
      <c r="Z655" s="1026"/>
    </row>
    <row r="656" spans="1:26">
      <c r="A656" s="1026"/>
      <c r="B656" s="1026"/>
      <c r="C656" s="1026"/>
      <c r="D656" s="1026"/>
      <c r="E656" s="1026"/>
      <c r="F656" s="1026"/>
      <c r="G656" s="1026"/>
      <c r="H656" s="1026"/>
      <c r="I656" s="1026"/>
      <c r="J656" s="1026"/>
      <c r="K656" s="1026"/>
      <c r="L656" s="1026"/>
      <c r="M656" s="1026"/>
      <c r="N656" s="1026"/>
      <c r="O656" s="1026"/>
      <c r="P656" s="1026"/>
      <c r="Q656" s="1026"/>
      <c r="R656" s="1026"/>
      <c r="S656" s="1026"/>
      <c r="T656" s="1026"/>
      <c r="U656" s="1026"/>
      <c r="V656" s="1026"/>
      <c r="W656" s="1026"/>
      <c r="X656" s="1026"/>
      <c r="Y656" s="1026"/>
      <c r="Z656" s="1026"/>
    </row>
    <row r="657" spans="1:26">
      <c r="A657" s="1026"/>
      <c r="B657" s="1026"/>
      <c r="C657" s="1026"/>
      <c r="D657" s="1026"/>
      <c r="E657" s="1026"/>
      <c r="F657" s="1026"/>
      <c r="G657" s="1026"/>
      <c r="H657" s="1026"/>
      <c r="I657" s="1026"/>
      <c r="J657" s="1026"/>
      <c r="K657" s="1026"/>
      <c r="L657" s="1026"/>
      <c r="M657" s="1026"/>
      <c r="N657" s="1026"/>
      <c r="O657" s="1026"/>
      <c r="P657" s="1026"/>
      <c r="Q657" s="1026"/>
      <c r="R657" s="1026"/>
      <c r="S657" s="1026"/>
      <c r="T657" s="1026"/>
      <c r="U657" s="1026"/>
      <c r="V657" s="1026"/>
      <c r="W657" s="1026"/>
      <c r="X657" s="1026"/>
      <c r="Y657" s="1026"/>
      <c r="Z657" s="1026"/>
    </row>
    <row r="658" spans="1:26">
      <c r="A658" s="1026"/>
      <c r="B658" s="1026"/>
      <c r="C658" s="1026"/>
      <c r="D658" s="1026"/>
      <c r="E658" s="1026"/>
      <c r="F658" s="1026"/>
      <c r="G658" s="1026"/>
      <c r="H658" s="1026"/>
      <c r="I658" s="1026"/>
      <c r="J658" s="1026"/>
      <c r="K658" s="1026"/>
      <c r="L658" s="1026"/>
      <c r="M658" s="1026"/>
      <c r="N658" s="1026"/>
      <c r="O658" s="1026"/>
      <c r="P658" s="1026"/>
      <c r="Q658" s="1026"/>
      <c r="R658" s="1026"/>
      <c r="S658" s="1026"/>
      <c r="T658" s="1026"/>
      <c r="U658" s="1026"/>
      <c r="V658" s="1026"/>
      <c r="W658" s="1026"/>
      <c r="X658" s="1026"/>
      <c r="Y658" s="1026"/>
      <c r="Z658" s="1026"/>
    </row>
    <row r="659" spans="1:26">
      <c r="A659" s="1026"/>
      <c r="B659" s="1026"/>
      <c r="C659" s="1026"/>
      <c r="D659" s="1026"/>
      <c r="E659" s="1026"/>
      <c r="F659" s="1026"/>
      <c r="G659" s="1026"/>
      <c r="H659" s="1026"/>
      <c r="I659" s="1026"/>
      <c r="J659" s="1026"/>
      <c r="K659" s="1026"/>
      <c r="L659" s="1026"/>
      <c r="M659" s="1026"/>
      <c r="N659" s="1026"/>
      <c r="O659" s="1026"/>
      <c r="P659" s="1026"/>
      <c r="Q659" s="1026"/>
      <c r="R659" s="1026"/>
      <c r="S659" s="1026"/>
      <c r="T659" s="1026"/>
      <c r="U659" s="1026"/>
      <c r="V659" s="1026"/>
      <c r="W659" s="1026"/>
      <c r="X659" s="1026"/>
      <c r="Y659" s="1026"/>
      <c r="Z659" s="1026"/>
    </row>
    <row r="660" spans="1:26">
      <c r="A660" s="1026"/>
      <c r="B660" s="1026"/>
      <c r="C660" s="1026"/>
      <c r="D660" s="1026"/>
      <c r="E660" s="1026"/>
      <c r="F660" s="1026"/>
      <c r="G660" s="1026"/>
      <c r="H660" s="1026"/>
      <c r="I660" s="1026"/>
      <c r="J660" s="1026"/>
      <c r="K660" s="1026"/>
      <c r="L660" s="1026"/>
      <c r="M660" s="1026"/>
      <c r="N660" s="1026"/>
      <c r="O660" s="1026"/>
      <c r="P660" s="1026"/>
      <c r="Q660" s="1026"/>
      <c r="R660" s="1026"/>
      <c r="S660" s="1026"/>
      <c r="T660" s="1026"/>
      <c r="U660" s="1026"/>
      <c r="V660" s="1026"/>
      <c r="W660" s="1026"/>
      <c r="X660" s="1026"/>
      <c r="Y660" s="1026"/>
      <c r="Z660" s="1026"/>
    </row>
    <row r="661" spans="1:26">
      <c r="A661" s="1026"/>
      <c r="B661" s="1026"/>
      <c r="C661" s="1026"/>
      <c r="D661" s="1026"/>
      <c r="E661" s="1026"/>
      <c r="F661" s="1026"/>
      <c r="G661" s="1026"/>
      <c r="H661" s="1026"/>
      <c r="I661" s="1026"/>
      <c r="J661" s="1026"/>
      <c r="K661" s="1026"/>
      <c r="L661" s="1026"/>
      <c r="M661" s="1026"/>
      <c r="N661" s="1026"/>
      <c r="O661" s="1026"/>
      <c r="P661" s="1026"/>
      <c r="Q661" s="1026"/>
      <c r="R661" s="1026"/>
      <c r="S661" s="1026"/>
      <c r="T661" s="1026"/>
      <c r="U661" s="1026"/>
      <c r="V661" s="1026"/>
      <c r="W661" s="1026"/>
      <c r="X661" s="1026"/>
      <c r="Y661" s="1026"/>
      <c r="Z661" s="1026"/>
    </row>
    <row r="662" spans="1:26">
      <c r="A662" s="1026"/>
      <c r="B662" s="1026"/>
      <c r="C662" s="1026"/>
      <c r="D662" s="1026"/>
      <c r="E662" s="1026"/>
      <c r="F662" s="1026"/>
      <c r="G662" s="1026"/>
      <c r="H662" s="1026"/>
      <c r="I662" s="1026"/>
      <c r="J662" s="1026"/>
      <c r="K662" s="1026"/>
      <c r="L662" s="1026"/>
      <c r="M662" s="1026"/>
      <c r="N662" s="1026"/>
      <c r="O662" s="1026"/>
      <c r="P662" s="1026"/>
      <c r="Q662" s="1026"/>
      <c r="R662" s="1026"/>
      <c r="S662" s="1026"/>
      <c r="T662" s="1026"/>
      <c r="U662" s="1026"/>
      <c r="V662" s="1026"/>
      <c r="W662" s="1026"/>
      <c r="X662" s="1026"/>
      <c r="Y662" s="1026"/>
      <c r="Z662" s="1026"/>
    </row>
    <row r="663" spans="1:26">
      <c r="A663" s="1026"/>
      <c r="B663" s="1026"/>
      <c r="C663" s="1026"/>
      <c r="D663" s="1026"/>
      <c r="E663" s="1026"/>
      <c r="F663" s="1026"/>
      <c r="G663" s="1026"/>
      <c r="H663" s="1026"/>
      <c r="I663" s="1026"/>
      <c r="J663" s="1026"/>
      <c r="K663" s="1026"/>
      <c r="L663" s="1026"/>
      <c r="M663" s="1026"/>
      <c r="N663" s="1026"/>
      <c r="O663" s="1026"/>
      <c r="P663" s="1026"/>
      <c r="Q663" s="1026"/>
      <c r="R663" s="1026"/>
      <c r="S663" s="1026"/>
      <c r="T663" s="1026"/>
      <c r="U663" s="1026"/>
      <c r="V663" s="1026"/>
      <c r="W663" s="1026"/>
      <c r="X663" s="1026"/>
      <c r="Y663" s="1026"/>
      <c r="Z663" s="1026"/>
    </row>
    <row r="664" spans="1:26">
      <c r="A664" s="1026"/>
      <c r="B664" s="1026"/>
      <c r="C664" s="1026"/>
      <c r="D664" s="1026"/>
      <c r="E664" s="1026"/>
      <c r="F664" s="1026"/>
      <c r="G664" s="1026"/>
      <c r="H664" s="1026"/>
      <c r="I664" s="1026"/>
      <c r="J664" s="1026"/>
      <c r="K664" s="1026"/>
      <c r="L664" s="1026"/>
      <c r="M664" s="1026"/>
      <c r="N664" s="1026"/>
      <c r="O664" s="1026"/>
      <c r="P664" s="1026"/>
      <c r="Q664" s="1026"/>
      <c r="R664" s="1026"/>
      <c r="S664" s="1026"/>
      <c r="T664" s="1026"/>
      <c r="U664" s="1026"/>
      <c r="V664" s="1026"/>
      <c r="W664" s="1026"/>
      <c r="X664" s="1026"/>
      <c r="Y664" s="1026"/>
      <c r="Z664" s="1026"/>
    </row>
    <row r="665" spans="1:26">
      <c r="A665" s="1026"/>
      <c r="B665" s="1026"/>
      <c r="C665" s="1026"/>
      <c r="D665" s="1026"/>
      <c r="E665" s="1026"/>
      <c r="F665" s="1026"/>
      <c r="G665" s="1026"/>
      <c r="H665" s="1026"/>
      <c r="I665" s="1026"/>
      <c r="J665" s="1026"/>
      <c r="K665" s="1026"/>
      <c r="L665" s="1026"/>
      <c r="M665" s="1026"/>
      <c r="N665" s="1026"/>
      <c r="O665" s="1026"/>
      <c r="P665" s="1026"/>
      <c r="Q665" s="1026"/>
      <c r="R665" s="1026"/>
      <c r="S665" s="1026"/>
      <c r="T665" s="1026"/>
      <c r="U665" s="1026"/>
      <c r="V665" s="1026"/>
      <c r="W665" s="1026"/>
      <c r="X665" s="1026"/>
      <c r="Y665" s="1026"/>
      <c r="Z665" s="1026"/>
    </row>
    <row r="666" spans="1:26">
      <c r="A666" s="1026"/>
      <c r="B666" s="1026"/>
      <c r="C666" s="1026"/>
      <c r="D666" s="1026"/>
      <c r="E666" s="1026"/>
      <c r="F666" s="1026"/>
      <c r="G666" s="1026"/>
      <c r="H666" s="1026"/>
      <c r="I666" s="1026"/>
      <c r="J666" s="1026"/>
      <c r="K666" s="1026"/>
      <c r="L666" s="1026"/>
      <c r="M666" s="1026"/>
      <c r="N666" s="1026"/>
      <c r="O666" s="1026"/>
      <c r="P666" s="1026"/>
      <c r="Q666" s="1026"/>
      <c r="R666" s="1026"/>
      <c r="S666" s="1026"/>
      <c r="T666" s="1026"/>
      <c r="U666" s="1026"/>
      <c r="V666" s="1026"/>
      <c r="W666" s="1026"/>
      <c r="X666" s="1026"/>
      <c r="Y666" s="1026"/>
      <c r="Z666" s="1026"/>
    </row>
    <row r="667" spans="1:26">
      <c r="A667" s="1026"/>
      <c r="B667" s="1026"/>
      <c r="C667" s="1026"/>
      <c r="D667" s="1026"/>
      <c r="E667" s="1026"/>
      <c r="F667" s="1026"/>
      <c r="G667" s="1026"/>
      <c r="H667" s="1026"/>
      <c r="I667" s="1026"/>
      <c r="J667" s="1026"/>
      <c r="K667" s="1026"/>
      <c r="L667" s="1026"/>
      <c r="M667" s="1026"/>
      <c r="N667" s="1026"/>
      <c r="O667" s="1026"/>
      <c r="P667" s="1026"/>
      <c r="Q667" s="1026"/>
      <c r="R667" s="1026"/>
      <c r="S667" s="1026"/>
      <c r="T667" s="1026"/>
      <c r="U667" s="1026"/>
      <c r="V667" s="1026"/>
      <c r="W667" s="1026"/>
      <c r="X667" s="1026"/>
      <c r="Y667" s="1026"/>
      <c r="Z667" s="1026"/>
    </row>
    <row r="668" spans="1:26">
      <c r="A668" s="1026"/>
      <c r="B668" s="1026"/>
      <c r="C668" s="1026"/>
      <c r="D668" s="1026"/>
      <c r="E668" s="1026"/>
      <c r="F668" s="1026"/>
      <c r="G668" s="1026"/>
      <c r="H668" s="1026"/>
      <c r="I668" s="1026"/>
      <c r="J668" s="1026"/>
      <c r="K668" s="1026"/>
      <c r="L668" s="1026"/>
      <c r="M668" s="1026"/>
      <c r="N668" s="1026"/>
      <c r="O668" s="1026"/>
      <c r="P668" s="1026"/>
      <c r="Q668" s="1026"/>
      <c r="R668" s="1026"/>
      <c r="S668" s="1026"/>
      <c r="T668" s="1026"/>
      <c r="U668" s="1026"/>
      <c r="V668" s="1026"/>
      <c r="W668" s="1026"/>
      <c r="X668" s="1026"/>
      <c r="Y668" s="1026"/>
      <c r="Z668" s="1026"/>
    </row>
    <row r="669" spans="1:26">
      <c r="A669" s="1026"/>
      <c r="B669" s="1026"/>
      <c r="C669" s="1026"/>
      <c r="D669" s="1026"/>
      <c r="E669" s="1026"/>
      <c r="F669" s="1026"/>
      <c r="G669" s="1026"/>
      <c r="H669" s="1026"/>
      <c r="I669" s="1026"/>
      <c r="J669" s="1026"/>
      <c r="K669" s="1026"/>
      <c r="L669" s="1026"/>
      <c r="M669" s="1026"/>
      <c r="N669" s="1026"/>
      <c r="O669" s="1026"/>
      <c r="P669" s="1026"/>
      <c r="Q669" s="1026"/>
      <c r="R669" s="1026"/>
      <c r="S669" s="1026"/>
      <c r="T669" s="1026"/>
      <c r="U669" s="1026"/>
      <c r="V669" s="1026"/>
      <c r="W669" s="1026"/>
      <c r="X669" s="1026"/>
      <c r="Y669" s="1026"/>
      <c r="Z669" s="1026"/>
    </row>
    <row r="670" spans="1:26">
      <c r="A670" s="1026"/>
      <c r="B670" s="1026"/>
      <c r="C670" s="1026"/>
      <c r="D670" s="1026"/>
      <c r="E670" s="1026"/>
      <c r="F670" s="1026"/>
      <c r="G670" s="1026"/>
      <c r="H670" s="1026"/>
      <c r="I670" s="1026"/>
      <c r="J670" s="1026"/>
      <c r="K670" s="1026"/>
      <c r="L670" s="1026"/>
      <c r="M670" s="1026"/>
      <c r="N670" s="1026"/>
      <c r="O670" s="1026"/>
      <c r="P670" s="1026"/>
      <c r="Q670" s="1026"/>
      <c r="R670" s="1026"/>
      <c r="S670" s="1026"/>
      <c r="T670" s="1026"/>
      <c r="U670" s="1026"/>
      <c r="V670" s="1026"/>
      <c r="W670" s="1026"/>
      <c r="X670" s="1026"/>
      <c r="Y670" s="1026"/>
      <c r="Z670" s="1026"/>
    </row>
    <row r="671" spans="1:26">
      <c r="A671" s="1026"/>
      <c r="B671" s="1026"/>
      <c r="C671" s="1026"/>
      <c r="D671" s="1026"/>
      <c r="E671" s="1026"/>
      <c r="F671" s="1026"/>
      <c r="G671" s="1026"/>
      <c r="H671" s="1026"/>
      <c r="I671" s="1026"/>
      <c r="J671" s="1026"/>
      <c r="K671" s="1026"/>
      <c r="L671" s="1026"/>
      <c r="M671" s="1026"/>
      <c r="N671" s="1026"/>
      <c r="O671" s="1026"/>
      <c r="P671" s="1026"/>
      <c r="Q671" s="1026"/>
      <c r="R671" s="1026"/>
      <c r="S671" s="1026"/>
      <c r="T671" s="1026"/>
      <c r="U671" s="1026"/>
      <c r="V671" s="1026"/>
      <c r="W671" s="1026"/>
      <c r="X671" s="1026"/>
      <c r="Y671" s="1026"/>
      <c r="Z671" s="1026"/>
    </row>
    <row r="672" spans="1:26">
      <c r="A672" s="1026"/>
      <c r="B672" s="1026"/>
      <c r="C672" s="1026"/>
      <c r="D672" s="1026"/>
      <c r="E672" s="1026"/>
      <c r="F672" s="1026"/>
      <c r="G672" s="1026"/>
      <c r="H672" s="1026"/>
      <c r="I672" s="1026"/>
      <c r="J672" s="1026"/>
      <c r="K672" s="1026"/>
      <c r="L672" s="1026"/>
      <c r="M672" s="1026"/>
      <c r="N672" s="1026"/>
      <c r="O672" s="1026"/>
      <c r="P672" s="1026"/>
      <c r="Q672" s="1026"/>
      <c r="R672" s="1026"/>
      <c r="S672" s="1026"/>
      <c r="T672" s="1026"/>
      <c r="U672" s="1026"/>
      <c r="V672" s="1026"/>
      <c r="W672" s="1026"/>
      <c r="X672" s="1026"/>
      <c r="Y672" s="1026"/>
      <c r="Z672" s="1026"/>
    </row>
    <row r="673" spans="1:26">
      <c r="A673" s="1026"/>
      <c r="B673" s="1026"/>
      <c r="C673" s="1026"/>
      <c r="D673" s="1026"/>
      <c r="E673" s="1026"/>
      <c r="F673" s="1026"/>
      <c r="G673" s="1026"/>
      <c r="H673" s="1026"/>
      <c r="I673" s="1026"/>
      <c r="J673" s="1026"/>
      <c r="K673" s="1026"/>
      <c r="L673" s="1026"/>
      <c r="M673" s="1026"/>
      <c r="N673" s="1026"/>
      <c r="O673" s="1026"/>
      <c r="P673" s="1026"/>
      <c r="Q673" s="1026"/>
      <c r="R673" s="1026"/>
      <c r="S673" s="1026"/>
      <c r="T673" s="1026"/>
      <c r="U673" s="1026"/>
      <c r="V673" s="1026"/>
      <c r="W673" s="1026"/>
      <c r="X673" s="1026"/>
      <c r="Y673" s="1026"/>
      <c r="Z673" s="1026"/>
    </row>
    <row r="674" spans="1:26">
      <c r="A674" s="1026"/>
      <c r="B674" s="1026"/>
      <c r="C674" s="1026"/>
      <c r="D674" s="1026"/>
      <c r="E674" s="1026"/>
      <c r="F674" s="1026"/>
      <c r="G674" s="1026"/>
      <c r="H674" s="1026"/>
      <c r="I674" s="1026"/>
      <c r="J674" s="1026"/>
      <c r="K674" s="1026"/>
      <c r="L674" s="1026"/>
      <c r="M674" s="1026"/>
      <c r="N674" s="1026"/>
      <c r="O674" s="1026"/>
      <c r="P674" s="1026"/>
      <c r="Q674" s="1026"/>
      <c r="R674" s="1026"/>
      <c r="S674" s="1026"/>
      <c r="T674" s="1026"/>
      <c r="U674" s="1026"/>
      <c r="V674" s="1026"/>
      <c r="W674" s="1026"/>
      <c r="X674" s="1026"/>
      <c r="Y674" s="1026"/>
      <c r="Z674" s="1026"/>
    </row>
    <row r="675" spans="1:26">
      <c r="A675" s="1026"/>
      <c r="B675" s="1026"/>
      <c r="C675" s="1026"/>
      <c r="D675" s="1026"/>
      <c r="E675" s="1026"/>
      <c r="F675" s="1026"/>
      <c r="G675" s="1026"/>
      <c r="H675" s="1026"/>
      <c r="I675" s="1026"/>
      <c r="J675" s="1026"/>
      <c r="K675" s="1026"/>
      <c r="L675" s="1026"/>
      <c r="M675" s="1026"/>
      <c r="N675" s="1026"/>
      <c r="O675" s="1026"/>
      <c r="P675" s="1026"/>
      <c r="Q675" s="1026"/>
      <c r="R675" s="1026"/>
      <c r="S675" s="1026"/>
      <c r="T675" s="1026"/>
      <c r="U675" s="1026"/>
      <c r="V675" s="1026"/>
      <c r="W675" s="1026"/>
      <c r="X675" s="1026"/>
      <c r="Y675" s="1026"/>
      <c r="Z675" s="1026"/>
    </row>
    <row r="676" spans="1:26">
      <c r="A676" s="1026"/>
      <c r="B676" s="1026"/>
      <c r="C676" s="1026"/>
      <c r="D676" s="1026"/>
      <c r="E676" s="1026"/>
      <c r="F676" s="1026"/>
      <c r="G676" s="1026"/>
      <c r="H676" s="1026"/>
      <c r="I676" s="1026"/>
      <c r="J676" s="1026"/>
      <c r="K676" s="1026"/>
      <c r="L676" s="1026"/>
      <c r="M676" s="1026"/>
      <c r="N676" s="1026"/>
      <c r="O676" s="1026"/>
      <c r="P676" s="1026"/>
      <c r="Q676" s="1026"/>
      <c r="R676" s="1026"/>
      <c r="S676" s="1026"/>
      <c r="T676" s="1026"/>
      <c r="U676" s="1026"/>
      <c r="V676" s="1026"/>
      <c r="W676" s="1026"/>
      <c r="X676" s="1026"/>
      <c r="Y676" s="1026"/>
      <c r="Z676" s="1026"/>
    </row>
    <row r="677" spans="1:26">
      <c r="A677" s="1026"/>
      <c r="B677" s="1026"/>
      <c r="C677" s="1026"/>
      <c r="D677" s="1026"/>
      <c r="E677" s="1026"/>
      <c r="F677" s="1026"/>
      <c r="G677" s="1026"/>
      <c r="H677" s="1026"/>
      <c r="I677" s="1026"/>
      <c r="J677" s="1026"/>
      <c r="K677" s="1026"/>
      <c r="L677" s="1026"/>
      <c r="M677" s="1026"/>
      <c r="N677" s="1026"/>
      <c r="O677" s="1026"/>
      <c r="P677" s="1026"/>
      <c r="Q677" s="1026"/>
      <c r="R677" s="1026"/>
      <c r="S677" s="1026"/>
      <c r="T677" s="1026"/>
      <c r="U677" s="1026"/>
      <c r="V677" s="1026"/>
      <c r="W677" s="1026"/>
      <c r="X677" s="1026"/>
      <c r="Y677" s="1026"/>
      <c r="Z677" s="1026"/>
    </row>
    <row r="678" spans="1:26">
      <c r="A678" s="1026"/>
      <c r="B678" s="1026"/>
      <c r="C678" s="1026"/>
      <c r="D678" s="1026"/>
      <c r="E678" s="1026"/>
      <c r="F678" s="1026"/>
      <c r="G678" s="1026"/>
      <c r="H678" s="1026"/>
      <c r="I678" s="1026"/>
      <c r="J678" s="1026"/>
      <c r="K678" s="1026"/>
      <c r="L678" s="1026"/>
      <c r="M678" s="1026"/>
      <c r="N678" s="1026"/>
      <c r="O678" s="1026"/>
      <c r="P678" s="1026"/>
      <c r="Q678" s="1026"/>
      <c r="R678" s="1026"/>
      <c r="S678" s="1026"/>
      <c r="T678" s="1026"/>
      <c r="U678" s="1026"/>
      <c r="V678" s="1026"/>
      <c r="W678" s="1026"/>
      <c r="X678" s="1026"/>
      <c r="Y678" s="1026"/>
      <c r="Z678" s="1026"/>
    </row>
    <row r="679" spans="1:26">
      <c r="A679" s="1026"/>
      <c r="B679" s="1026"/>
      <c r="C679" s="1026"/>
      <c r="D679" s="1026"/>
      <c r="E679" s="1026"/>
      <c r="F679" s="1026"/>
      <c r="G679" s="1026"/>
      <c r="H679" s="1026"/>
      <c r="I679" s="1026"/>
      <c r="J679" s="1026"/>
      <c r="K679" s="1026"/>
      <c r="L679" s="1026"/>
      <c r="M679" s="1026"/>
      <c r="N679" s="1026"/>
      <c r="O679" s="1026"/>
      <c r="P679" s="1026"/>
      <c r="Q679" s="1026"/>
      <c r="R679" s="1026"/>
      <c r="S679" s="1026"/>
      <c r="T679" s="1026"/>
      <c r="U679" s="1026"/>
      <c r="V679" s="1026"/>
      <c r="W679" s="1026"/>
      <c r="X679" s="1026"/>
      <c r="Y679" s="1026"/>
      <c r="Z679" s="1026"/>
    </row>
    <row r="680" spans="1:26">
      <c r="A680" s="1026"/>
      <c r="B680" s="1026"/>
      <c r="C680" s="1026"/>
      <c r="D680" s="1026"/>
      <c r="E680" s="1026"/>
      <c r="F680" s="1026"/>
      <c r="G680" s="1026"/>
      <c r="H680" s="1026"/>
      <c r="I680" s="1026"/>
      <c r="J680" s="1026"/>
      <c r="K680" s="1026"/>
      <c r="L680" s="1026"/>
      <c r="M680" s="1026"/>
      <c r="N680" s="1026"/>
      <c r="O680" s="1026"/>
      <c r="P680" s="1026"/>
      <c r="Q680" s="1026"/>
      <c r="R680" s="1026"/>
      <c r="S680" s="1026"/>
      <c r="T680" s="1026"/>
      <c r="U680" s="1026"/>
      <c r="V680" s="1026"/>
      <c r="W680" s="1026"/>
      <c r="X680" s="1026"/>
      <c r="Y680" s="1026"/>
      <c r="Z680" s="1026"/>
    </row>
    <row r="681" spans="1:26">
      <c r="A681" s="1026"/>
      <c r="B681" s="1026"/>
      <c r="C681" s="1026"/>
      <c r="D681" s="1026"/>
      <c r="E681" s="1026"/>
      <c r="F681" s="1026"/>
      <c r="G681" s="1026"/>
      <c r="H681" s="1026"/>
      <c r="I681" s="1026"/>
      <c r="J681" s="1026"/>
      <c r="K681" s="1026"/>
      <c r="L681" s="1026"/>
      <c r="M681" s="1026"/>
      <c r="N681" s="1026"/>
      <c r="O681" s="1026"/>
      <c r="P681" s="1026"/>
      <c r="Q681" s="1026"/>
      <c r="R681" s="1026"/>
      <c r="S681" s="1026"/>
      <c r="T681" s="1026"/>
      <c r="U681" s="1026"/>
      <c r="V681" s="1026"/>
      <c r="W681" s="1026"/>
      <c r="X681" s="1026"/>
      <c r="Y681" s="1026"/>
      <c r="Z681" s="1026"/>
    </row>
    <row r="682" spans="1:26">
      <c r="A682" s="1026"/>
      <c r="B682" s="1026"/>
      <c r="C682" s="1026"/>
      <c r="D682" s="1026"/>
      <c r="E682" s="1026"/>
      <c r="F682" s="1026"/>
      <c r="G682" s="1026"/>
      <c r="H682" s="1026"/>
      <c r="I682" s="1026"/>
      <c r="J682" s="1026"/>
      <c r="K682" s="1026"/>
      <c r="L682" s="1026"/>
      <c r="M682" s="1026"/>
      <c r="N682" s="1026"/>
      <c r="O682" s="1026"/>
      <c r="P682" s="1026"/>
      <c r="Q682" s="1026"/>
      <c r="R682" s="1026"/>
      <c r="S682" s="1026"/>
      <c r="T682" s="1026"/>
      <c r="U682" s="1026"/>
      <c r="V682" s="1026"/>
      <c r="W682" s="1026"/>
      <c r="X682" s="1026"/>
      <c r="Y682" s="1026"/>
      <c r="Z682" s="1026"/>
    </row>
    <row r="683" spans="1:26">
      <c r="A683" s="1026"/>
      <c r="B683" s="1026"/>
      <c r="C683" s="1026"/>
      <c r="D683" s="1026"/>
      <c r="E683" s="1026"/>
      <c r="F683" s="1026"/>
      <c r="G683" s="1026"/>
      <c r="H683" s="1026"/>
      <c r="I683" s="1026"/>
      <c r="J683" s="1026"/>
      <c r="K683" s="1026"/>
      <c r="L683" s="1026"/>
      <c r="M683" s="1026"/>
      <c r="N683" s="1026"/>
      <c r="O683" s="1026"/>
      <c r="P683" s="1026"/>
      <c r="Q683" s="1026"/>
      <c r="R683" s="1026"/>
      <c r="S683" s="1026"/>
      <c r="T683" s="1026"/>
      <c r="U683" s="1026"/>
      <c r="V683" s="1026"/>
      <c r="W683" s="1026"/>
      <c r="X683" s="1026"/>
      <c r="Y683" s="1026"/>
      <c r="Z683" s="1026"/>
    </row>
    <row r="684" spans="1:26">
      <c r="A684" s="1026"/>
      <c r="B684" s="1026"/>
      <c r="C684" s="1026"/>
      <c r="D684" s="1026"/>
      <c r="E684" s="1026"/>
      <c r="F684" s="1026"/>
      <c r="G684" s="1026"/>
      <c r="H684" s="1026"/>
      <c r="I684" s="1026"/>
      <c r="J684" s="1026"/>
      <c r="K684" s="1026"/>
      <c r="L684" s="1026"/>
      <c r="M684" s="1026"/>
      <c r="N684" s="1026"/>
      <c r="O684" s="1026"/>
      <c r="P684" s="1026"/>
      <c r="Q684" s="1026"/>
      <c r="R684" s="1026"/>
      <c r="S684" s="1026"/>
      <c r="T684" s="1026"/>
      <c r="U684" s="1026"/>
      <c r="V684" s="1026"/>
      <c r="W684" s="1026"/>
      <c r="X684" s="1026"/>
      <c r="Y684" s="1026"/>
      <c r="Z684" s="1026"/>
    </row>
    <row r="685" spans="1:26">
      <c r="A685" s="1026"/>
      <c r="B685" s="1026"/>
      <c r="C685" s="1026"/>
      <c r="D685" s="1026"/>
      <c r="E685" s="1026"/>
      <c r="F685" s="1026"/>
      <c r="G685" s="1026"/>
      <c r="H685" s="1026"/>
      <c r="I685" s="1026"/>
      <c r="J685" s="1026"/>
      <c r="K685" s="1026"/>
      <c r="L685" s="1026"/>
      <c r="M685" s="1026"/>
      <c r="N685" s="1026"/>
      <c r="O685" s="1026"/>
      <c r="P685" s="1026"/>
      <c r="Q685" s="1026"/>
      <c r="R685" s="1026"/>
      <c r="S685" s="1026"/>
      <c r="T685" s="1026"/>
      <c r="U685" s="1026"/>
      <c r="V685" s="1026"/>
      <c r="W685" s="1026"/>
      <c r="X685" s="1026"/>
      <c r="Y685" s="1026"/>
      <c r="Z685" s="1026"/>
    </row>
    <row r="686" spans="1:26">
      <c r="A686" s="1026"/>
      <c r="B686" s="1026"/>
      <c r="C686" s="1026"/>
      <c r="D686" s="1026"/>
      <c r="E686" s="1026"/>
      <c r="F686" s="1026"/>
      <c r="G686" s="1026"/>
      <c r="H686" s="1026"/>
      <c r="I686" s="1026"/>
      <c r="J686" s="1026"/>
      <c r="K686" s="1026"/>
      <c r="L686" s="1026"/>
      <c r="M686" s="1026"/>
      <c r="N686" s="1026"/>
      <c r="O686" s="1026"/>
      <c r="P686" s="1026"/>
      <c r="Q686" s="1026"/>
      <c r="R686" s="1026"/>
      <c r="S686" s="1026"/>
      <c r="T686" s="1026"/>
      <c r="U686" s="1026"/>
      <c r="V686" s="1026"/>
      <c r="W686" s="1026"/>
      <c r="X686" s="1026"/>
      <c r="Y686" s="1026"/>
      <c r="Z686" s="1026"/>
    </row>
    <row r="687" spans="1:26">
      <c r="A687" s="1026"/>
      <c r="B687" s="1026"/>
      <c r="C687" s="1026"/>
      <c r="D687" s="1026"/>
      <c r="E687" s="1026"/>
      <c r="F687" s="1026"/>
      <c r="G687" s="1026"/>
      <c r="H687" s="1026"/>
      <c r="I687" s="1026"/>
      <c r="J687" s="1026"/>
      <c r="K687" s="1026"/>
      <c r="L687" s="1026"/>
      <c r="M687" s="1026"/>
      <c r="N687" s="1026"/>
      <c r="O687" s="1026"/>
      <c r="P687" s="1026"/>
      <c r="Q687" s="1026"/>
      <c r="R687" s="1026"/>
      <c r="S687" s="1026"/>
      <c r="T687" s="1026"/>
      <c r="U687" s="1026"/>
      <c r="V687" s="1026"/>
      <c r="W687" s="1026"/>
      <c r="X687" s="1026"/>
      <c r="Y687" s="1026"/>
      <c r="Z687" s="1026"/>
    </row>
    <row r="688" spans="1:26">
      <c r="A688" s="1026"/>
      <c r="B688" s="1026"/>
      <c r="C688" s="1026"/>
      <c r="D688" s="1026"/>
      <c r="E688" s="1026"/>
      <c r="F688" s="1026"/>
      <c r="G688" s="1026"/>
      <c r="H688" s="1026"/>
      <c r="I688" s="1026"/>
      <c r="J688" s="1026"/>
      <c r="K688" s="1026"/>
      <c r="L688" s="1026"/>
      <c r="M688" s="1026"/>
      <c r="N688" s="1026"/>
      <c r="O688" s="1026"/>
      <c r="P688" s="1026"/>
      <c r="Q688" s="1026"/>
      <c r="R688" s="1026"/>
      <c r="S688" s="1026"/>
      <c r="T688" s="1026"/>
      <c r="U688" s="1026"/>
      <c r="V688" s="1026"/>
      <c r="W688" s="1026"/>
      <c r="X688" s="1026"/>
      <c r="Y688" s="1026"/>
      <c r="Z688" s="1026"/>
    </row>
    <row r="689" spans="1:26">
      <c r="A689" s="1026"/>
      <c r="B689" s="1026"/>
      <c r="C689" s="1026"/>
      <c r="D689" s="1026"/>
      <c r="E689" s="1026"/>
      <c r="F689" s="1026"/>
      <c r="G689" s="1026"/>
      <c r="H689" s="1026"/>
      <c r="I689" s="1026"/>
      <c r="J689" s="1026"/>
      <c r="K689" s="1026"/>
      <c r="L689" s="1026"/>
      <c r="M689" s="1026"/>
      <c r="N689" s="1026"/>
      <c r="O689" s="1026"/>
      <c r="P689" s="1026"/>
      <c r="Q689" s="1026"/>
      <c r="R689" s="1026"/>
      <c r="S689" s="1026"/>
      <c r="T689" s="1026"/>
      <c r="U689" s="1026"/>
      <c r="V689" s="1026"/>
      <c r="W689" s="1026"/>
      <c r="X689" s="1026"/>
      <c r="Y689" s="1026"/>
      <c r="Z689" s="1026"/>
    </row>
    <row r="690" spans="1:26">
      <c r="A690" s="1026"/>
      <c r="B690" s="1026"/>
      <c r="C690" s="1026"/>
      <c r="D690" s="1026"/>
      <c r="E690" s="1026"/>
      <c r="F690" s="1026"/>
      <c r="G690" s="1026"/>
      <c r="H690" s="1026"/>
      <c r="I690" s="1026"/>
      <c r="J690" s="1026"/>
      <c r="K690" s="1026"/>
      <c r="L690" s="1026"/>
      <c r="M690" s="1026"/>
      <c r="N690" s="1026"/>
      <c r="O690" s="1026"/>
      <c r="P690" s="1026"/>
      <c r="Q690" s="1026"/>
      <c r="R690" s="1026"/>
      <c r="S690" s="1026"/>
      <c r="T690" s="1026"/>
      <c r="U690" s="1026"/>
      <c r="V690" s="1026"/>
      <c r="W690" s="1026"/>
      <c r="X690" s="1026"/>
      <c r="Y690" s="1026"/>
      <c r="Z690" s="1026"/>
    </row>
    <row r="691" spans="1:26">
      <c r="A691" s="1026"/>
      <c r="B691" s="1026"/>
      <c r="C691" s="1026"/>
      <c r="D691" s="1026"/>
      <c r="E691" s="1026"/>
      <c r="F691" s="1026"/>
      <c r="G691" s="1026"/>
      <c r="H691" s="1026"/>
      <c r="I691" s="1026"/>
      <c r="J691" s="1026"/>
      <c r="K691" s="1026"/>
      <c r="L691" s="1026"/>
      <c r="M691" s="1026"/>
      <c r="N691" s="1026"/>
      <c r="O691" s="1026"/>
      <c r="P691" s="1026"/>
      <c r="Q691" s="1026"/>
      <c r="R691" s="1026"/>
      <c r="S691" s="1026"/>
      <c r="T691" s="1026"/>
      <c r="U691" s="1026"/>
      <c r="V691" s="1026"/>
      <c r="W691" s="1026"/>
      <c r="X691" s="1026"/>
      <c r="Y691" s="1026"/>
      <c r="Z691" s="1026"/>
    </row>
    <row r="692" spans="1:26">
      <c r="A692" s="1026"/>
      <c r="B692" s="1026"/>
      <c r="C692" s="1026"/>
      <c r="D692" s="1026"/>
      <c r="E692" s="1026"/>
      <c r="F692" s="1026"/>
      <c r="G692" s="1026"/>
      <c r="H692" s="1026"/>
      <c r="I692" s="1026"/>
      <c r="J692" s="1026"/>
      <c r="K692" s="1026"/>
      <c r="L692" s="1026"/>
      <c r="M692" s="1026"/>
      <c r="N692" s="1026"/>
      <c r="O692" s="1026"/>
      <c r="P692" s="1026"/>
      <c r="Q692" s="1026"/>
      <c r="R692" s="1026"/>
      <c r="S692" s="1026"/>
      <c r="T692" s="1026"/>
      <c r="U692" s="1026"/>
      <c r="V692" s="1026"/>
      <c r="W692" s="1026"/>
      <c r="X692" s="1026"/>
      <c r="Y692" s="1026"/>
      <c r="Z692" s="1026"/>
    </row>
    <row r="693" spans="1:26">
      <c r="A693" s="1026"/>
      <c r="B693" s="1026"/>
      <c r="C693" s="1026"/>
      <c r="D693" s="1026"/>
      <c r="E693" s="1026"/>
      <c r="F693" s="1026"/>
      <c r="G693" s="1026"/>
      <c r="H693" s="1026"/>
      <c r="I693" s="1026"/>
      <c r="J693" s="1026"/>
      <c r="K693" s="1026"/>
      <c r="L693" s="1026"/>
      <c r="M693" s="1026"/>
      <c r="N693" s="1026"/>
      <c r="O693" s="1026"/>
      <c r="P693" s="1026"/>
      <c r="Q693" s="1026"/>
      <c r="R693" s="1026"/>
      <c r="S693" s="1026"/>
      <c r="T693" s="1026"/>
      <c r="U693" s="1026"/>
      <c r="V693" s="1026"/>
      <c r="W693" s="1026"/>
      <c r="X693" s="1026"/>
      <c r="Y693" s="1026"/>
      <c r="Z693" s="1026"/>
    </row>
    <row r="694" spans="1:26">
      <c r="A694" s="1026"/>
      <c r="B694" s="1026"/>
      <c r="C694" s="1026"/>
      <c r="D694" s="1026"/>
      <c r="E694" s="1026"/>
      <c r="F694" s="1026"/>
      <c r="G694" s="1026"/>
      <c r="H694" s="1026"/>
      <c r="I694" s="1026"/>
      <c r="J694" s="1026"/>
      <c r="K694" s="1026"/>
      <c r="L694" s="1026"/>
      <c r="M694" s="1026"/>
      <c r="N694" s="1026"/>
      <c r="O694" s="1026"/>
      <c r="P694" s="1026"/>
      <c r="Q694" s="1026"/>
      <c r="R694" s="1026"/>
      <c r="S694" s="1026"/>
      <c r="T694" s="1026"/>
      <c r="U694" s="1026"/>
      <c r="V694" s="1026"/>
      <c r="W694" s="1026"/>
      <c r="X694" s="1026"/>
      <c r="Y694" s="1026"/>
      <c r="Z694" s="1026"/>
    </row>
    <row r="695" spans="1:26">
      <c r="A695" s="1026"/>
      <c r="B695" s="1026"/>
      <c r="C695" s="1026"/>
      <c r="D695" s="1026"/>
      <c r="E695" s="1026"/>
      <c r="F695" s="1026"/>
      <c r="G695" s="1026"/>
      <c r="H695" s="1026"/>
      <c r="I695" s="1026"/>
      <c r="J695" s="1026"/>
      <c r="K695" s="1026"/>
      <c r="L695" s="1026"/>
      <c r="M695" s="1026"/>
      <c r="N695" s="1026"/>
      <c r="O695" s="1026"/>
      <c r="P695" s="1026"/>
      <c r="Q695" s="1026"/>
      <c r="R695" s="1026"/>
      <c r="S695" s="1026"/>
      <c r="T695" s="1026"/>
      <c r="U695" s="1026"/>
      <c r="V695" s="1026"/>
      <c r="W695" s="1026"/>
      <c r="X695" s="1026"/>
      <c r="Y695" s="1026"/>
      <c r="Z695" s="1026"/>
    </row>
    <row r="696" spans="1:26">
      <c r="A696" s="1026"/>
      <c r="B696" s="1026"/>
      <c r="C696" s="1026"/>
      <c r="D696" s="1026"/>
      <c r="E696" s="1026"/>
      <c r="F696" s="1026"/>
      <c r="G696" s="1026"/>
      <c r="H696" s="1026"/>
      <c r="I696" s="1026"/>
      <c r="J696" s="1026"/>
      <c r="K696" s="1026"/>
      <c r="L696" s="1026"/>
      <c r="M696" s="1026"/>
      <c r="N696" s="1026"/>
      <c r="O696" s="1026"/>
      <c r="P696" s="1026"/>
      <c r="Q696" s="1026"/>
      <c r="R696" s="1026"/>
      <c r="S696" s="1026"/>
      <c r="T696" s="1026"/>
      <c r="U696" s="1026"/>
      <c r="V696" s="1026"/>
      <c r="W696" s="1026"/>
      <c r="X696" s="1026"/>
      <c r="Y696" s="1026"/>
      <c r="Z696" s="1026"/>
    </row>
    <row r="697" spans="1:26">
      <c r="A697" s="1026"/>
      <c r="B697" s="1026"/>
      <c r="C697" s="1026"/>
      <c r="D697" s="1026"/>
      <c r="E697" s="1026"/>
      <c r="F697" s="1026"/>
      <c r="G697" s="1026"/>
      <c r="H697" s="1026"/>
      <c r="I697" s="1026"/>
      <c r="J697" s="1026"/>
      <c r="K697" s="1026"/>
      <c r="L697" s="1026"/>
      <c r="M697" s="1026"/>
      <c r="N697" s="1026"/>
      <c r="O697" s="1026"/>
      <c r="P697" s="1026"/>
      <c r="Q697" s="1026"/>
      <c r="R697" s="1026"/>
      <c r="S697" s="1026"/>
      <c r="T697" s="1026"/>
      <c r="U697" s="1026"/>
      <c r="V697" s="1026"/>
      <c r="W697" s="1026"/>
      <c r="X697" s="1026"/>
      <c r="Y697" s="1026"/>
      <c r="Z697" s="1026"/>
    </row>
    <row r="698" spans="1:26">
      <c r="A698" s="1026"/>
      <c r="B698" s="1026"/>
      <c r="C698" s="1026"/>
      <c r="D698" s="1026"/>
      <c r="E698" s="1026"/>
      <c r="F698" s="1026"/>
      <c r="G698" s="1026"/>
      <c r="H698" s="1026"/>
      <c r="I698" s="1026"/>
      <c r="J698" s="1026"/>
      <c r="K698" s="1026"/>
      <c r="L698" s="1026"/>
      <c r="M698" s="1026"/>
      <c r="N698" s="1026"/>
      <c r="O698" s="1026"/>
      <c r="P698" s="1026"/>
      <c r="Q698" s="1026"/>
      <c r="R698" s="1026"/>
      <c r="S698" s="1026"/>
      <c r="T698" s="1026"/>
      <c r="U698" s="1026"/>
      <c r="V698" s="1026"/>
      <c r="W698" s="1026"/>
      <c r="X698" s="1026"/>
      <c r="Y698" s="1026"/>
      <c r="Z698" s="1026"/>
    </row>
    <row r="699" spans="1:26">
      <c r="A699" s="1026"/>
      <c r="B699" s="1026"/>
      <c r="C699" s="1026"/>
      <c r="D699" s="1026"/>
      <c r="E699" s="1026"/>
      <c r="F699" s="1026"/>
      <c r="G699" s="1026"/>
      <c r="H699" s="1026"/>
      <c r="I699" s="1026"/>
      <c r="J699" s="1026"/>
      <c r="K699" s="1026"/>
      <c r="L699" s="1026"/>
      <c r="M699" s="1026"/>
      <c r="N699" s="1026"/>
      <c r="O699" s="1026"/>
      <c r="P699" s="1026"/>
      <c r="Q699" s="1026"/>
      <c r="R699" s="1026"/>
      <c r="S699" s="1026"/>
      <c r="T699" s="1026"/>
      <c r="U699" s="1026"/>
      <c r="V699" s="1026"/>
      <c r="W699" s="1026"/>
      <c r="X699" s="1026"/>
      <c r="Y699" s="1026"/>
      <c r="Z699" s="1026"/>
    </row>
    <row r="700" spans="1:26">
      <c r="A700" s="1026"/>
      <c r="B700" s="1026"/>
      <c r="C700" s="1026"/>
      <c r="D700" s="1026"/>
      <c r="E700" s="1026"/>
      <c r="F700" s="1026"/>
      <c r="G700" s="1026"/>
      <c r="H700" s="1026"/>
      <c r="I700" s="1026"/>
      <c r="J700" s="1026"/>
      <c r="K700" s="1026"/>
      <c r="L700" s="1026"/>
      <c r="M700" s="1026"/>
      <c r="N700" s="1026"/>
      <c r="O700" s="1026"/>
      <c r="P700" s="1026"/>
      <c r="Q700" s="1026"/>
      <c r="R700" s="1026"/>
      <c r="S700" s="1026"/>
      <c r="T700" s="1026"/>
      <c r="U700" s="1026"/>
      <c r="V700" s="1026"/>
      <c r="W700" s="1026"/>
      <c r="X700" s="1026"/>
      <c r="Y700" s="1026"/>
      <c r="Z700" s="1026"/>
    </row>
    <row r="701" spans="1:26">
      <c r="A701" s="1026"/>
      <c r="B701" s="1026"/>
      <c r="C701" s="1026"/>
      <c r="D701" s="1026"/>
      <c r="E701" s="1026"/>
      <c r="F701" s="1026"/>
      <c r="G701" s="1026"/>
      <c r="H701" s="1026"/>
      <c r="I701" s="1026"/>
      <c r="J701" s="1026"/>
      <c r="K701" s="1026"/>
      <c r="L701" s="1026"/>
      <c r="M701" s="1026"/>
      <c r="N701" s="1026"/>
      <c r="O701" s="1026"/>
      <c r="P701" s="1026"/>
      <c r="Q701" s="1026"/>
      <c r="R701" s="1026"/>
      <c r="S701" s="1026"/>
      <c r="T701" s="1026"/>
      <c r="U701" s="1026"/>
      <c r="V701" s="1026"/>
      <c r="W701" s="1026"/>
      <c r="X701" s="1026"/>
      <c r="Y701" s="1026"/>
      <c r="Z701" s="1026"/>
    </row>
    <row r="702" spans="1:26">
      <c r="A702" s="1026"/>
      <c r="B702" s="1026"/>
      <c r="C702" s="1026"/>
      <c r="D702" s="1026"/>
      <c r="E702" s="1026"/>
      <c r="F702" s="1026"/>
      <c r="G702" s="1026"/>
      <c r="H702" s="1026"/>
      <c r="I702" s="1026"/>
      <c r="J702" s="1026"/>
      <c r="K702" s="1026"/>
      <c r="L702" s="1026"/>
      <c r="M702" s="1026"/>
      <c r="N702" s="1026"/>
      <c r="O702" s="1026"/>
      <c r="P702" s="1026"/>
      <c r="Q702" s="1026"/>
      <c r="R702" s="1026"/>
      <c r="S702" s="1026"/>
      <c r="T702" s="1026"/>
      <c r="U702" s="1026"/>
      <c r="V702" s="1026"/>
      <c r="W702" s="1026"/>
      <c r="X702" s="1026"/>
      <c r="Y702" s="1026"/>
      <c r="Z702" s="1026"/>
    </row>
    <row r="703" spans="1:26">
      <c r="A703" s="1026"/>
      <c r="B703" s="1026"/>
      <c r="C703" s="1026"/>
      <c r="D703" s="1026"/>
      <c r="E703" s="1026"/>
      <c r="F703" s="1026"/>
      <c r="G703" s="1026"/>
      <c r="H703" s="1026"/>
      <c r="I703" s="1026"/>
      <c r="J703" s="1026"/>
      <c r="K703" s="1026"/>
      <c r="L703" s="1026"/>
      <c r="M703" s="1026"/>
      <c r="N703" s="1026"/>
      <c r="O703" s="1026"/>
      <c r="P703" s="1026"/>
      <c r="Q703" s="1026"/>
      <c r="R703" s="1026"/>
      <c r="S703" s="1026"/>
      <c r="T703" s="1026"/>
      <c r="U703" s="1026"/>
      <c r="V703" s="1026"/>
      <c r="W703" s="1026"/>
      <c r="X703" s="1026"/>
      <c r="Y703" s="1026"/>
      <c r="Z703" s="1026"/>
    </row>
    <row r="704" spans="1:26">
      <c r="A704" s="1026"/>
      <c r="B704" s="1026"/>
      <c r="C704" s="1026"/>
      <c r="D704" s="1026"/>
      <c r="E704" s="1026"/>
      <c r="F704" s="1026"/>
      <c r="G704" s="1026"/>
      <c r="H704" s="1026"/>
      <c r="I704" s="1026"/>
      <c r="J704" s="1026"/>
      <c r="K704" s="1026"/>
      <c r="L704" s="1026"/>
      <c r="M704" s="1026"/>
      <c r="N704" s="1026"/>
      <c r="O704" s="1026"/>
      <c r="P704" s="1026"/>
      <c r="Q704" s="1026"/>
      <c r="R704" s="1026"/>
      <c r="S704" s="1026"/>
      <c r="T704" s="1026"/>
      <c r="U704" s="1026"/>
      <c r="V704" s="1026"/>
      <c r="W704" s="1026"/>
      <c r="X704" s="1026"/>
      <c r="Y704" s="1026"/>
      <c r="Z704" s="1026"/>
    </row>
    <row r="705" spans="1:26">
      <c r="A705" s="1026"/>
      <c r="B705" s="1026"/>
      <c r="C705" s="1026"/>
      <c r="D705" s="1026"/>
      <c r="E705" s="1026"/>
      <c r="F705" s="1026"/>
      <c r="G705" s="1026"/>
      <c r="H705" s="1026"/>
      <c r="I705" s="1026"/>
      <c r="J705" s="1026"/>
      <c r="K705" s="1026"/>
      <c r="L705" s="1026"/>
      <c r="M705" s="1026"/>
      <c r="N705" s="1026"/>
      <c r="O705" s="1026"/>
      <c r="P705" s="1026"/>
      <c r="Q705" s="1026"/>
      <c r="R705" s="1026"/>
      <c r="S705" s="1026"/>
      <c r="T705" s="1026"/>
      <c r="U705" s="1026"/>
      <c r="V705" s="1026"/>
      <c r="W705" s="1026"/>
      <c r="X705" s="1026"/>
      <c r="Y705" s="1026"/>
      <c r="Z705" s="1026"/>
    </row>
    <row r="706" spans="1:26">
      <c r="A706" s="1026"/>
      <c r="B706" s="1026"/>
      <c r="C706" s="1026"/>
      <c r="D706" s="1026"/>
      <c r="E706" s="1026"/>
      <c r="F706" s="1026"/>
      <c r="G706" s="1026"/>
      <c r="H706" s="1026"/>
      <c r="I706" s="1026"/>
      <c r="J706" s="1026"/>
      <c r="K706" s="1026"/>
      <c r="L706" s="1026"/>
      <c r="M706" s="1026"/>
      <c r="N706" s="1026"/>
      <c r="O706" s="1026"/>
      <c r="P706" s="1026"/>
      <c r="Q706" s="1026"/>
      <c r="R706" s="1026"/>
      <c r="S706" s="1026"/>
      <c r="T706" s="1026"/>
      <c r="U706" s="1026"/>
      <c r="V706" s="1026"/>
      <c r="W706" s="1026"/>
      <c r="X706" s="1026"/>
      <c r="Y706" s="1026"/>
      <c r="Z706" s="1026"/>
    </row>
    <row r="707" spans="1:26">
      <c r="A707" s="1026"/>
      <c r="B707" s="1026"/>
      <c r="C707" s="1026"/>
      <c r="D707" s="1026"/>
      <c r="E707" s="1026"/>
      <c r="F707" s="1026"/>
      <c r="G707" s="1026"/>
      <c r="H707" s="1026"/>
      <c r="I707" s="1026"/>
      <c r="J707" s="1026"/>
      <c r="K707" s="1026"/>
      <c r="L707" s="1026"/>
      <c r="M707" s="1026"/>
      <c r="N707" s="1026"/>
      <c r="O707" s="1026"/>
      <c r="P707" s="1026"/>
      <c r="Q707" s="1026"/>
      <c r="R707" s="1026"/>
      <c r="S707" s="1026"/>
      <c r="T707" s="1026"/>
      <c r="U707" s="1026"/>
      <c r="V707" s="1026"/>
      <c r="W707" s="1026"/>
      <c r="X707" s="1026"/>
      <c r="Y707" s="1026"/>
      <c r="Z707" s="1026"/>
    </row>
    <row r="708" spans="1:26">
      <c r="A708" s="1026"/>
      <c r="B708" s="1026"/>
      <c r="C708" s="1026"/>
      <c r="D708" s="1026"/>
      <c r="E708" s="1026"/>
      <c r="F708" s="1026"/>
      <c r="G708" s="1026"/>
      <c r="H708" s="1026"/>
      <c r="I708" s="1026"/>
      <c r="J708" s="1026"/>
      <c r="K708" s="1026"/>
      <c r="L708" s="1026"/>
      <c r="M708" s="1026"/>
      <c r="N708" s="1026"/>
      <c r="O708" s="1026"/>
      <c r="P708" s="1026"/>
      <c r="Q708" s="1026"/>
      <c r="R708" s="1026"/>
      <c r="S708" s="1026"/>
      <c r="T708" s="1026"/>
      <c r="U708" s="1026"/>
      <c r="V708" s="1026"/>
      <c r="W708" s="1026"/>
      <c r="X708" s="1026"/>
      <c r="Y708" s="1026"/>
      <c r="Z708" s="1026"/>
    </row>
    <row r="709" spans="1:26">
      <c r="A709" s="1026"/>
      <c r="B709" s="1026"/>
      <c r="C709" s="1026"/>
      <c r="D709" s="1026"/>
      <c r="E709" s="1026"/>
      <c r="F709" s="1026"/>
      <c r="G709" s="1026"/>
      <c r="H709" s="1026"/>
      <c r="I709" s="1026"/>
      <c r="J709" s="1026"/>
      <c r="K709" s="1026"/>
      <c r="L709" s="1026"/>
      <c r="M709" s="1026"/>
      <c r="N709" s="1026"/>
      <c r="O709" s="1026"/>
      <c r="P709" s="1026"/>
      <c r="Q709" s="1026"/>
      <c r="R709" s="1026"/>
      <c r="S709" s="1026"/>
      <c r="T709" s="1026"/>
      <c r="U709" s="1026"/>
      <c r="V709" s="1026"/>
      <c r="W709" s="1026"/>
      <c r="X709" s="1026"/>
      <c r="Y709" s="1026"/>
      <c r="Z709" s="1026"/>
    </row>
    <row r="710" spans="1:26">
      <c r="A710" s="1026"/>
      <c r="B710" s="1026"/>
      <c r="C710" s="1026"/>
      <c r="D710" s="1026"/>
      <c r="E710" s="1026"/>
      <c r="F710" s="1026"/>
      <c r="G710" s="1026"/>
      <c r="H710" s="1026"/>
      <c r="I710" s="1026"/>
      <c r="J710" s="1026"/>
      <c r="K710" s="1026"/>
      <c r="L710" s="1026"/>
      <c r="M710" s="1026"/>
      <c r="N710" s="1026"/>
      <c r="O710" s="1026"/>
      <c r="P710" s="1026"/>
      <c r="Q710" s="1026"/>
      <c r="R710" s="1026"/>
      <c r="S710" s="1026"/>
      <c r="T710" s="1026"/>
      <c r="U710" s="1026"/>
      <c r="V710" s="1026"/>
      <c r="W710" s="1026"/>
      <c r="X710" s="1026"/>
      <c r="Y710" s="1026"/>
      <c r="Z710" s="1026"/>
    </row>
    <row r="711" spans="1:26">
      <c r="A711" s="1026"/>
      <c r="B711" s="1026"/>
      <c r="C711" s="1026"/>
      <c r="D711" s="1026"/>
      <c r="E711" s="1026"/>
      <c r="F711" s="1026"/>
      <c r="G711" s="1026"/>
      <c r="H711" s="1026"/>
      <c r="I711" s="1026"/>
      <c r="J711" s="1026"/>
      <c r="K711" s="1026"/>
      <c r="L711" s="1026"/>
      <c r="M711" s="1026"/>
      <c r="N711" s="1026"/>
      <c r="O711" s="1026"/>
      <c r="P711" s="1026"/>
      <c r="Q711" s="1026"/>
      <c r="R711" s="1026"/>
      <c r="S711" s="1026"/>
      <c r="T711" s="1026"/>
      <c r="U711" s="1026"/>
      <c r="V711" s="1026"/>
      <c r="W711" s="1026"/>
      <c r="X711" s="1026"/>
      <c r="Y711" s="1026"/>
      <c r="Z711" s="1026"/>
    </row>
    <row r="712" spans="1:26">
      <c r="A712" s="1026"/>
      <c r="B712" s="1026"/>
      <c r="C712" s="1026"/>
      <c r="D712" s="1026"/>
      <c r="E712" s="1026"/>
      <c r="F712" s="1026"/>
      <c r="G712" s="1026"/>
      <c r="H712" s="1026"/>
      <c r="I712" s="1026"/>
      <c r="J712" s="1026"/>
      <c r="K712" s="1026"/>
      <c r="L712" s="1026"/>
      <c r="M712" s="1026"/>
      <c r="N712" s="1026"/>
      <c r="O712" s="1026"/>
      <c r="P712" s="1026"/>
      <c r="Q712" s="1026"/>
      <c r="R712" s="1026"/>
      <c r="S712" s="1026"/>
      <c r="T712" s="1026"/>
      <c r="U712" s="1026"/>
      <c r="V712" s="1026"/>
      <c r="W712" s="1026"/>
      <c r="X712" s="1026"/>
      <c r="Y712" s="1026"/>
      <c r="Z712" s="1026"/>
    </row>
    <row r="713" spans="1:26">
      <c r="A713" s="1026"/>
      <c r="B713" s="1026"/>
      <c r="C713" s="1026"/>
      <c r="D713" s="1026"/>
      <c r="E713" s="1026"/>
      <c r="F713" s="1026"/>
      <c r="G713" s="1026"/>
      <c r="H713" s="1026"/>
      <c r="I713" s="1026"/>
      <c r="J713" s="1026"/>
      <c r="K713" s="1026"/>
      <c r="L713" s="1026"/>
      <c r="M713" s="1026"/>
      <c r="N713" s="1026"/>
      <c r="O713" s="1026"/>
      <c r="P713" s="1026"/>
      <c r="Q713" s="1026"/>
      <c r="R713" s="1026"/>
      <c r="S713" s="1026"/>
      <c r="T713" s="1026"/>
      <c r="U713" s="1026"/>
      <c r="V713" s="1026"/>
      <c r="W713" s="1026"/>
      <c r="X713" s="1026"/>
      <c r="Y713" s="1026"/>
      <c r="Z713" s="1026"/>
    </row>
    <row r="714" spans="1:26">
      <c r="A714" s="1026"/>
      <c r="B714" s="1026"/>
      <c r="C714" s="1026"/>
      <c r="D714" s="1026"/>
      <c r="E714" s="1026"/>
      <c r="F714" s="1026"/>
      <c r="G714" s="1026"/>
      <c r="H714" s="1026"/>
      <c r="I714" s="1026"/>
      <c r="J714" s="1026"/>
      <c r="K714" s="1026"/>
      <c r="L714" s="1026"/>
      <c r="M714" s="1026"/>
      <c r="N714" s="1026"/>
      <c r="O714" s="1026"/>
      <c r="P714" s="1026"/>
      <c r="Q714" s="1026"/>
      <c r="R714" s="1026"/>
      <c r="S714" s="1026"/>
      <c r="T714" s="1026"/>
      <c r="U714" s="1026"/>
      <c r="V714" s="1026"/>
      <c r="W714" s="1026"/>
      <c r="X714" s="1026"/>
      <c r="Y714" s="1026"/>
      <c r="Z714" s="1026"/>
    </row>
    <row r="715" spans="1:26">
      <c r="A715" s="1026"/>
      <c r="B715" s="1026"/>
      <c r="C715" s="1026"/>
      <c r="D715" s="1026"/>
      <c r="E715" s="1026"/>
      <c r="F715" s="1026"/>
      <c r="G715" s="1026"/>
      <c r="H715" s="1026"/>
      <c r="I715" s="1026"/>
      <c r="J715" s="1026"/>
      <c r="K715" s="1026"/>
      <c r="L715" s="1026"/>
      <c r="M715" s="1026"/>
      <c r="N715" s="1026"/>
      <c r="O715" s="1026"/>
      <c r="P715" s="1026"/>
      <c r="Q715" s="1026"/>
      <c r="R715" s="1026"/>
      <c r="S715" s="1026"/>
      <c r="T715" s="1026"/>
      <c r="U715" s="1026"/>
      <c r="V715" s="1026"/>
      <c r="W715" s="1026"/>
      <c r="X715" s="1026"/>
      <c r="Y715" s="1026"/>
      <c r="Z715" s="1026"/>
    </row>
    <row r="716" spans="1:26">
      <c r="A716" s="1026"/>
      <c r="B716" s="1026"/>
      <c r="C716" s="1026"/>
      <c r="D716" s="1026"/>
      <c r="E716" s="1026"/>
      <c r="F716" s="1026"/>
      <c r="G716" s="1026"/>
      <c r="H716" s="1026"/>
      <c r="I716" s="1026"/>
      <c r="J716" s="1026"/>
      <c r="K716" s="1026"/>
      <c r="L716" s="1026"/>
      <c r="M716" s="1026"/>
      <c r="N716" s="1026"/>
      <c r="O716" s="1026"/>
      <c r="P716" s="1026"/>
      <c r="Q716" s="1026"/>
      <c r="R716" s="1026"/>
      <c r="S716" s="1026"/>
      <c r="T716" s="1026"/>
      <c r="U716" s="1026"/>
      <c r="V716" s="1026"/>
      <c r="W716" s="1026"/>
      <c r="X716" s="1026"/>
      <c r="Y716" s="1026"/>
      <c r="Z716" s="1026"/>
    </row>
    <row r="717" spans="1:26">
      <c r="A717" s="1026"/>
      <c r="B717" s="1026"/>
      <c r="C717" s="1026"/>
      <c r="D717" s="1026"/>
      <c r="E717" s="1026"/>
      <c r="F717" s="1026"/>
      <c r="G717" s="1026"/>
      <c r="H717" s="1026"/>
      <c r="I717" s="1026"/>
      <c r="J717" s="1026"/>
      <c r="K717" s="1026"/>
      <c r="L717" s="1026"/>
      <c r="M717" s="1026"/>
      <c r="N717" s="1026"/>
      <c r="O717" s="1026"/>
      <c r="P717" s="1026"/>
      <c r="Q717" s="1026"/>
      <c r="R717" s="1026"/>
      <c r="S717" s="1026"/>
      <c r="T717" s="1026"/>
      <c r="U717" s="1026"/>
      <c r="V717" s="1026"/>
      <c r="W717" s="1026"/>
      <c r="X717" s="1026"/>
      <c r="Y717" s="1026"/>
      <c r="Z717" s="1026"/>
    </row>
    <row r="718" spans="1:26">
      <c r="A718" s="1026"/>
      <c r="B718" s="1026"/>
      <c r="C718" s="1026"/>
      <c r="D718" s="1026"/>
      <c r="E718" s="1026"/>
      <c r="F718" s="1026"/>
      <c r="G718" s="1026"/>
      <c r="H718" s="1026"/>
      <c r="I718" s="1026"/>
      <c r="J718" s="1026"/>
      <c r="K718" s="1026"/>
      <c r="L718" s="1026"/>
      <c r="M718" s="1026"/>
      <c r="N718" s="1026"/>
      <c r="O718" s="1026"/>
      <c r="P718" s="1026"/>
      <c r="Q718" s="1026"/>
      <c r="R718" s="1026"/>
      <c r="S718" s="1026"/>
      <c r="T718" s="1026"/>
      <c r="U718" s="1026"/>
      <c r="V718" s="1026"/>
      <c r="W718" s="1026"/>
      <c r="X718" s="1026"/>
      <c r="Y718" s="1026"/>
      <c r="Z718" s="1026"/>
    </row>
    <row r="719" spans="1:26">
      <c r="A719" s="1026"/>
      <c r="B719" s="1026"/>
      <c r="C719" s="1026"/>
      <c r="D719" s="1026"/>
      <c r="E719" s="1026"/>
      <c r="F719" s="1026"/>
      <c r="G719" s="1026"/>
      <c r="H719" s="1026"/>
      <c r="I719" s="1026"/>
      <c r="J719" s="1026"/>
      <c r="K719" s="1026"/>
      <c r="L719" s="1026"/>
      <c r="M719" s="1026"/>
      <c r="N719" s="1026"/>
      <c r="O719" s="1026"/>
      <c r="P719" s="1026"/>
      <c r="Q719" s="1026"/>
      <c r="R719" s="1026"/>
      <c r="S719" s="1026"/>
      <c r="T719" s="1026"/>
      <c r="U719" s="1026"/>
      <c r="V719" s="1026"/>
      <c r="W719" s="1026"/>
      <c r="X719" s="1026"/>
      <c r="Y719" s="1026"/>
      <c r="Z719" s="1026"/>
    </row>
    <row r="720" spans="1:26">
      <c r="A720" s="1026"/>
      <c r="B720" s="1026"/>
      <c r="C720" s="1026"/>
      <c r="D720" s="1026"/>
      <c r="E720" s="1026"/>
      <c r="F720" s="1026"/>
      <c r="G720" s="1026"/>
      <c r="H720" s="1026"/>
      <c r="I720" s="1026"/>
      <c r="J720" s="1026"/>
      <c r="K720" s="1026"/>
      <c r="L720" s="1026"/>
      <c r="M720" s="1026"/>
      <c r="N720" s="1026"/>
      <c r="O720" s="1026"/>
      <c r="P720" s="1026"/>
      <c r="Q720" s="1026"/>
      <c r="R720" s="1026"/>
      <c r="S720" s="1026"/>
      <c r="T720" s="1026"/>
      <c r="U720" s="1026"/>
      <c r="V720" s="1026"/>
      <c r="W720" s="1026"/>
      <c r="X720" s="1026"/>
      <c r="Y720" s="1026"/>
      <c r="Z720" s="1026"/>
    </row>
    <row r="721" spans="1:26">
      <c r="A721" s="1026"/>
      <c r="B721" s="1026"/>
      <c r="C721" s="1026"/>
      <c r="D721" s="1026"/>
      <c r="E721" s="1026"/>
      <c r="F721" s="1026"/>
      <c r="G721" s="1026"/>
      <c r="H721" s="1026"/>
      <c r="I721" s="1026"/>
      <c r="J721" s="1026"/>
      <c r="K721" s="1026"/>
      <c r="L721" s="1026"/>
      <c r="M721" s="1026"/>
      <c r="N721" s="1026"/>
      <c r="O721" s="1026"/>
      <c r="P721" s="1026"/>
      <c r="Q721" s="1026"/>
      <c r="R721" s="1026"/>
      <c r="S721" s="1026"/>
      <c r="T721" s="1026"/>
      <c r="U721" s="1026"/>
      <c r="V721" s="1026"/>
      <c r="W721" s="1026"/>
      <c r="X721" s="1026"/>
      <c r="Y721" s="1026"/>
      <c r="Z721" s="1026"/>
    </row>
    <row r="722" spans="1:26">
      <c r="A722" s="1026"/>
      <c r="B722" s="1026"/>
      <c r="C722" s="1026"/>
      <c r="D722" s="1026"/>
      <c r="E722" s="1026"/>
      <c r="F722" s="1026"/>
      <c r="G722" s="1026"/>
      <c r="H722" s="1026"/>
      <c r="I722" s="1026"/>
      <c r="J722" s="1026"/>
      <c r="K722" s="1026"/>
      <c r="L722" s="1026"/>
      <c r="M722" s="1026"/>
      <c r="N722" s="1026"/>
      <c r="O722" s="1026"/>
      <c r="P722" s="1026"/>
      <c r="Q722" s="1026"/>
      <c r="R722" s="1026"/>
      <c r="S722" s="1026"/>
      <c r="T722" s="1026"/>
      <c r="U722" s="1026"/>
      <c r="V722" s="1026"/>
      <c r="W722" s="1026"/>
      <c r="X722" s="1026"/>
      <c r="Y722" s="1026"/>
      <c r="Z722" s="1026"/>
    </row>
    <row r="723" spans="1:26">
      <c r="A723" s="1026"/>
      <c r="B723" s="1026"/>
      <c r="C723" s="1026"/>
      <c r="D723" s="1026"/>
      <c r="E723" s="1026"/>
      <c r="F723" s="1026"/>
      <c r="G723" s="1026"/>
      <c r="H723" s="1026"/>
      <c r="I723" s="1026"/>
      <c r="J723" s="1026"/>
      <c r="K723" s="1026"/>
      <c r="L723" s="1026"/>
      <c r="M723" s="1026"/>
      <c r="N723" s="1026"/>
      <c r="O723" s="1026"/>
      <c r="P723" s="1026"/>
      <c r="Q723" s="1026"/>
      <c r="R723" s="1026"/>
      <c r="S723" s="1026"/>
      <c r="T723" s="1026"/>
      <c r="U723" s="1026"/>
      <c r="V723" s="1026"/>
      <c r="W723" s="1026"/>
      <c r="X723" s="1026"/>
      <c r="Y723" s="1026"/>
      <c r="Z723" s="1026"/>
    </row>
    <row r="724" spans="1:26">
      <c r="A724" s="1026"/>
      <c r="B724" s="1026"/>
      <c r="C724" s="1026"/>
      <c r="D724" s="1026"/>
      <c r="E724" s="1026"/>
      <c r="F724" s="1026"/>
      <c r="G724" s="1026"/>
      <c r="H724" s="1026"/>
      <c r="I724" s="1026"/>
      <c r="J724" s="1026"/>
      <c r="K724" s="1026"/>
      <c r="L724" s="1026"/>
      <c r="M724" s="1026"/>
      <c r="N724" s="1026"/>
      <c r="O724" s="1026"/>
      <c r="P724" s="1026"/>
      <c r="Q724" s="1026"/>
      <c r="R724" s="1026"/>
      <c r="S724" s="1026"/>
      <c r="T724" s="1026"/>
      <c r="U724" s="1026"/>
      <c r="V724" s="1026"/>
      <c r="W724" s="1026"/>
      <c r="X724" s="1026"/>
      <c r="Y724" s="1026"/>
      <c r="Z724" s="1026"/>
    </row>
    <row r="725" spans="1:26">
      <c r="A725" s="1026"/>
      <c r="B725" s="1026"/>
      <c r="C725" s="1026"/>
      <c r="D725" s="1026"/>
      <c r="E725" s="1026"/>
      <c r="F725" s="1026"/>
      <c r="G725" s="1026"/>
      <c r="H725" s="1026"/>
      <c r="I725" s="1026"/>
      <c r="J725" s="1026"/>
      <c r="K725" s="1026"/>
      <c r="L725" s="1026"/>
      <c r="M725" s="1026"/>
      <c r="N725" s="1026"/>
      <c r="O725" s="1026"/>
      <c r="P725" s="1026"/>
      <c r="Q725" s="1026"/>
      <c r="R725" s="1026"/>
      <c r="S725" s="1026"/>
      <c r="T725" s="1026"/>
      <c r="U725" s="1026"/>
      <c r="V725" s="1026"/>
      <c r="W725" s="1026"/>
      <c r="X725" s="1026"/>
      <c r="Y725" s="1026"/>
      <c r="Z725" s="1026"/>
    </row>
    <row r="726" spans="1:26">
      <c r="A726" s="1026"/>
      <c r="B726" s="1026"/>
      <c r="C726" s="1026"/>
      <c r="D726" s="1026"/>
      <c r="E726" s="1026"/>
      <c r="F726" s="1026"/>
      <c r="G726" s="1026"/>
      <c r="H726" s="1026"/>
      <c r="I726" s="1026"/>
      <c r="J726" s="1026"/>
      <c r="K726" s="1026"/>
      <c r="L726" s="1026"/>
      <c r="M726" s="1026"/>
      <c r="N726" s="1026"/>
      <c r="O726" s="1026"/>
      <c r="P726" s="1026"/>
      <c r="Q726" s="1026"/>
      <c r="R726" s="1026"/>
      <c r="S726" s="1026"/>
      <c r="T726" s="1026"/>
      <c r="U726" s="1026"/>
      <c r="V726" s="1026"/>
      <c r="W726" s="1026"/>
      <c r="X726" s="1026"/>
      <c r="Y726" s="1026"/>
      <c r="Z726" s="1026"/>
    </row>
    <row r="727" spans="1:26">
      <c r="A727" s="1026"/>
      <c r="B727" s="1026"/>
      <c r="C727" s="1026"/>
      <c r="D727" s="1026"/>
      <c r="E727" s="1026"/>
      <c r="F727" s="1026"/>
      <c r="G727" s="1026"/>
      <c r="H727" s="1026"/>
      <c r="I727" s="1026"/>
      <c r="J727" s="1026"/>
      <c r="K727" s="1026"/>
      <c r="L727" s="1026"/>
      <c r="M727" s="1026"/>
      <c r="N727" s="1026"/>
      <c r="O727" s="1026"/>
      <c r="P727" s="1026"/>
      <c r="Q727" s="1026"/>
      <c r="R727" s="1026"/>
      <c r="S727" s="1026"/>
      <c r="T727" s="1026"/>
      <c r="U727" s="1026"/>
      <c r="V727" s="1026"/>
      <c r="W727" s="1026"/>
      <c r="X727" s="1026"/>
      <c r="Y727" s="1026"/>
      <c r="Z727" s="1026"/>
    </row>
    <row r="728" spans="1:26">
      <c r="A728" s="1026"/>
      <c r="B728" s="1026"/>
      <c r="C728" s="1026"/>
      <c r="D728" s="1026"/>
      <c r="E728" s="1026"/>
      <c r="F728" s="1026"/>
      <c r="G728" s="1026"/>
      <c r="H728" s="1026"/>
      <c r="I728" s="1026"/>
      <c r="J728" s="1026"/>
      <c r="K728" s="1026"/>
      <c r="L728" s="1026"/>
      <c r="M728" s="1026"/>
      <c r="N728" s="1026"/>
      <c r="O728" s="1026"/>
      <c r="P728" s="1026"/>
      <c r="Q728" s="1026"/>
      <c r="R728" s="1026"/>
      <c r="S728" s="1026"/>
      <c r="T728" s="1026"/>
      <c r="U728" s="1026"/>
      <c r="V728" s="1026"/>
      <c r="W728" s="1026"/>
      <c r="X728" s="1026"/>
      <c r="Y728" s="1026"/>
      <c r="Z728" s="1026"/>
    </row>
    <row r="729" spans="1:26">
      <c r="A729" s="1026"/>
      <c r="B729" s="1026"/>
      <c r="C729" s="1026"/>
      <c r="D729" s="1026"/>
      <c r="E729" s="1026"/>
      <c r="F729" s="1026"/>
      <c r="G729" s="1026"/>
      <c r="H729" s="1026"/>
      <c r="I729" s="1026"/>
      <c r="J729" s="1026"/>
      <c r="K729" s="1026"/>
      <c r="L729" s="1026"/>
      <c r="M729" s="1026"/>
      <c r="N729" s="1026"/>
      <c r="O729" s="1026"/>
      <c r="P729" s="1026"/>
      <c r="Q729" s="1026"/>
      <c r="R729" s="1026"/>
      <c r="S729" s="1026"/>
      <c r="T729" s="1026"/>
      <c r="U729" s="1026"/>
      <c r="V729" s="1026"/>
      <c r="W729" s="1026"/>
      <c r="X729" s="1026"/>
      <c r="Y729" s="1026"/>
      <c r="Z729" s="1026"/>
    </row>
    <row r="730" spans="1:26">
      <c r="A730" s="1026"/>
      <c r="B730" s="1026"/>
      <c r="C730" s="1026"/>
      <c r="D730" s="1026"/>
      <c r="E730" s="1026"/>
      <c r="F730" s="1026"/>
      <c r="G730" s="1026"/>
      <c r="H730" s="1026"/>
      <c r="I730" s="1026"/>
      <c r="J730" s="1026"/>
      <c r="K730" s="1026"/>
      <c r="L730" s="1026"/>
      <c r="M730" s="1026"/>
      <c r="N730" s="1026"/>
      <c r="O730" s="1026"/>
      <c r="P730" s="1026"/>
      <c r="Q730" s="1026"/>
      <c r="R730" s="1026"/>
      <c r="S730" s="1026"/>
      <c r="T730" s="1026"/>
      <c r="U730" s="1026"/>
      <c r="V730" s="1026"/>
      <c r="W730" s="1026"/>
      <c r="X730" s="1026"/>
      <c r="Y730" s="1026"/>
      <c r="Z730" s="1026"/>
    </row>
    <row r="731" spans="1:26">
      <c r="A731" s="1026"/>
      <c r="B731" s="1026"/>
      <c r="C731" s="1026"/>
      <c r="D731" s="1026"/>
      <c r="E731" s="1026"/>
      <c r="F731" s="1026"/>
      <c r="G731" s="1026"/>
      <c r="H731" s="1026"/>
      <c r="I731" s="1026"/>
      <c r="J731" s="1026"/>
      <c r="K731" s="1026"/>
      <c r="L731" s="1026"/>
      <c r="M731" s="1026"/>
      <c r="N731" s="1026"/>
      <c r="O731" s="1026"/>
      <c r="P731" s="1026"/>
      <c r="Q731" s="1026"/>
      <c r="R731" s="1026"/>
      <c r="S731" s="1026"/>
      <c r="T731" s="1026"/>
      <c r="U731" s="1026"/>
      <c r="V731" s="1026"/>
      <c r="W731" s="1026"/>
      <c r="X731" s="1026"/>
      <c r="Y731" s="1026"/>
      <c r="Z731" s="1026"/>
    </row>
    <row r="732" spans="1:26">
      <c r="A732" s="1026"/>
      <c r="B732" s="1026"/>
      <c r="C732" s="1026"/>
      <c r="D732" s="1026"/>
      <c r="E732" s="1026"/>
      <c r="F732" s="1026"/>
      <c r="G732" s="1026"/>
      <c r="H732" s="1026"/>
      <c r="I732" s="1026"/>
      <c r="J732" s="1026"/>
      <c r="K732" s="1026"/>
      <c r="L732" s="1026"/>
      <c r="M732" s="1026"/>
      <c r="N732" s="1026"/>
      <c r="O732" s="1026"/>
      <c r="P732" s="1026"/>
      <c r="Q732" s="1026"/>
      <c r="R732" s="1026"/>
      <c r="S732" s="1026"/>
      <c r="T732" s="1026"/>
      <c r="U732" s="1026"/>
      <c r="V732" s="1026"/>
      <c r="W732" s="1026"/>
      <c r="X732" s="1026"/>
      <c r="Y732" s="1026"/>
      <c r="Z732" s="1026"/>
    </row>
    <row r="733" spans="1:26">
      <c r="A733" s="1026"/>
      <c r="B733" s="1026"/>
      <c r="C733" s="1026"/>
      <c r="D733" s="1026"/>
      <c r="E733" s="1026"/>
      <c r="F733" s="1026"/>
      <c r="G733" s="1026"/>
      <c r="H733" s="1026"/>
      <c r="I733" s="1026"/>
      <c r="J733" s="1026"/>
      <c r="K733" s="1026"/>
      <c r="L733" s="1026"/>
      <c r="M733" s="1026"/>
      <c r="N733" s="1026"/>
      <c r="O733" s="1026"/>
      <c r="P733" s="1026"/>
      <c r="Q733" s="1026"/>
      <c r="R733" s="1026"/>
      <c r="S733" s="1026"/>
      <c r="T733" s="1026"/>
      <c r="U733" s="1026"/>
      <c r="V733" s="1026"/>
      <c r="W733" s="1026"/>
      <c r="X733" s="1026"/>
      <c r="Y733" s="1026"/>
      <c r="Z733" s="1026"/>
    </row>
    <row r="734" spans="1:26">
      <c r="A734" s="1026"/>
      <c r="B734" s="1026"/>
      <c r="C734" s="1026"/>
      <c r="D734" s="1026"/>
      <c r="E734" s="1026"/>
      <c r="F734" s="1026"/>
      <c r="G734" s="1026"/>
      <c r="H734" s="1026"/>
      <c r="I734" s="1026"/>
      <c r="J734" s="1026"/>
      <c r="K734" s="1026"/>
      <c r="L734" s="1026"/>
      <c r="M734" s="1026"/>
      <c r="N734" s="1026"/>
      <c r="O734" s="1026"/>
      <c r="P734" s="1026"/>
      <c r="Q734" s="1026"/>
      <c r="R734" s="1026"/>
      <c r="S734" s="1026"/>
      <c r="T734" s="1026"/>
      <c r="U734" s="1026"/>
      <c r="V734" s="1026"/>
      <c r="W734" s="1026"/>
      <c r="X734" s="1026"/>
      <c r="Y734" s="1026"/>
      <c r="Z734" s="1026"/>
    </row>
    <row r="735" spans="1:26">
      <c r="A735" s="1026"/>
      <c r="B735" s="1026"/>
      <c r="C735" s="1026"/>
      <c r="D735" s="1026"/>
      <c r="E735" s="1026"/>
      <c r="F735" s="1026"/>
      <c r="G735" s="1026"/>
      <c r="H735" s="1026"/>
      <c r="I735" s="1026"/>
      <c r="J735" s="1026"/>
      <c r="K735" s="1026"/>
      <c r="L735" s="1026"/>
      <c r="M735" s="1026"/>
      <c r="N735" s="1026"/>
      <c r="O735" s="1026"/>
      <c r="P735" s="1026"/>
      <c r="Q735" s="1026"/>
      <c r="R735" s="1026"/>
      <c r="S735" s="1026"/>
      <c r="T735" s="1026"/>
      <c r="U735" s="1026"/>
      <c r="V735" s="1026"/>
      <c r="W735" s="1026"/>
      <c r="X735" s="1026"/>
      <c r="Y735" s="1026"/>
      <c r="Z735" s="1026"/>
    </row>
    <row r="736" spans="1:26">
      <c r="A736" s="1026"/>
      <c r="B736" s="1026"/>
      <c r="C736" s="1026"/>
      <c r="D736" s="1026"/>
      <c r="E736" s="1026"/>
      <c r="F736" s="1026"/>
      <c r="G736" s="1026"/>
      <c r="H736" s="1026"/>
      <c r="I736" s="1026"/>
      <c r="J736" s="1026"/>
      <c r="K736" s="1026"/>
      <c r="L736" s="1026"/>
      <c r="M736" s="1026"/>
      <c r="N736" s="1026"/>
      <c r="O736" s="1026"/>
      <c r="P736" s="1026"/>
      <c r="Q736" s="1026"/>
      <c r="R736" s="1026"/>
      <c r="S736" s="1026"/>
      <c r="T736" s="1026"/>
      <c r="U736" s="1026"/>
      <c r="V736" s="1026"/>
      <c r="W736" s="1026"/>
      <c r="X736" s="1026"/>
      <c r="Y736" s="1026"/>
      <c r="Z736" s="1026"/>
    </row>
    <row r="737" spans="1:26">
      <c r="A737" s="1026"/>
      <c r="B737" s="1026"/>
      <c r="C737" s="1026"/>
      <c r="D737" s="1026"/>
      <c r="E737" s="1026"/>
      <c r="F737" s="1026"/>
      <c r="G737" s="1026"/>
      <c r="H737" s="1026"/>
      <c r="I737" s="1026"/>
      <c r="J737" s="1026"/>
      <c r="K737" s="1026"/>
      <c r="L737" s="1026"/>
      <c r="M737" s="1026"/>
      <c r="N737" s="1026"/>
      <c r="O737" s="1026"/>
      <c r="P737" s="1026"/>
      <c r="Q737" s="1026"/>
      <c r="R737" s="1026"/>
      <c r="S737" s="1026"/>
      <c r="T737" s="1026"/>
      <c r="U737" s="1026"/>
      <c r="V737" s="1026"/>
      <c r="W737" s="1026"/>
      <c r="X737" s="1026"/>
      <c r="Y737" s="1026"/>
      <c r="Z737" s="1026"/>
    </row>
    <row r="738" spans="1:26">
      <c r="A738" s="1026"/>
      <c r="B738" s="1026"/>
      <c r="C738" s="1026"/>
      <c r="D738" s="1026"/>
      <c r="E738" s="1026"/>
      <c r="F738" s="1026"/>
      <c r="G738" s="1026"/>
      <c r="H738" s="1026"/>
      <c r="I738" s="1026"/>
      <c r="J738" s="1026"/>
      <c r="K738" s="1026"/>
      <c r="L738" s="1026"/>
      <c r="M738" s="1026"/>
      <c r="N738" s="1026"/>
      <c r="O738" s="1026"/>
      <c r="P738" s="1026"/>
      <c r="Q738" s="1026"/>
      <c r="R738" s="1026"/>
      <c r="S738" s="1026"/>
      <c r="T738" s="1026"/>
      <c r="U738" s="1026"/>
      <c r="V738" s="1026"/>
      <c r="W738" s="1026"/>
      <c r="X738" s="1026"/>
      <c r="Y738" s="1026"/>
      <c r="Z738" s="1026"/>
    </row>
    <row r="739" spans="1:26">
      <c r="A739" s="1026"/>
      <c r="B739" s="1026"/>
      <c r="C739" s="1026"/>
      <c r="D739" s="1026"/>
      <c r="E739" s="1026"/>
      <c r="F739" s="1026"/>
      <c r="G739" s="1026"/>
      <c r="H739" s="1026"/>
      <c r="I739" s="1026"/>
      <c r="J739" s="1026"/>
      <c r="K739" s="1026"/>
      <c r="L739" s="1026"/>
      <c r="M739" s="1026"/>
      <c r="N739" s="1026"/>
      <c r="O739" s="1026"/>
      <c r="P739" s="1026"/>
      <c r="Q739" s="1026"/>
      <c r="R739" s="1026"/>
      <c r="S739" s="1026"/>
      <c r="T739" s="1026"/>
      <c r="U739" s="1026"/>
      <c r="V739" s="1026"/>
      <c r="W739" s="1026"/>
      <c r="X739" s="1026"/>
      <c r="Y739" s="1026"/>
      <c r="Z739" s="1026"/>
    </row>
    <row r="740" spans="1:26">
      <c r="A740" s="1026"/>
      <c r="B740" s="1026"/>
      <c r="C740" s="1026"/>
      <c r="D740" s="1026"/>
      <c r="E740" s="1026"/>
      <c r="F740" s="1026"/>
      <c r="G740" s="1026"/>
      <c r="H740" s="1026"/>
      <c r="I740" s="1026"/>
      <c r="J740" s="1026"/>
      <c r="K740" s="1026"/>
      <c r="L740" s="1026"/>
      <c r="M740" s="1026"/>
      <c r="N740" s="1026"/>
      <c r="O740" s="1026"/>
      <c r="P740" s="1026"/>
      <c r="Q740" s="1026"/>
      <c r="R740" s="1026"/>
      <c r="S740" s="1026"/>
      <c r="T740" s="1026"/>
      <c r="U740" s="1026"/>
      <c r="V740" s="1026"/>
      <c r="W740" s="1026"/>
      <c r="X740" s="1026"/>
      <c r="Y740" s="1026"/>
      <c r="Z740" s="1026"/>
    </row>
    <row r="741" spans="1:26">
      <c r="A741" s="1026"/>
      <c r="B741" s="1026"/>
      <c r="C741" s="1026"/>
      <c r="D741" s="1026"/>
      <c r="E741" s="1026"/>
      <c r="F741" s="1026"/>
      <c r="G741" s="1026"/>
      <c r="H741" s="1026"/>
      <c r="I741" s="1026"/>
      <c r="J741" s="1026"/>
      <c r="K741" s="1026"/>
      <c r="L741" s="1026"/>
      <c r="M741" s="1026"/>
      <c r="N741" s="1026"/>
      <c r="O741" s="1026"/>
      <c r="P741" s="1026"/>
      <c r="Q741" s="1026"/>
      <c r="R741" s="1026"/>
      <c r="S741" s="1026"/>
      <c r="T741" s="1026"/>
      <c r="U741" s="1026"/>
      <c r="V741" s="1026"/>
      <c r="W741" s="1026"/>
      <c r="X741" s="1026"/>
      <c r="Y741" s="1026"/>
      <c r="Z741" s="1026"/>
    </row>
    <row r="742" spans="1:26">
      <c r="A742" s="1026"/>
      <c r="B742" s="1026"/>
      <c r="C742" s="1026"/>
      <c r="D742" s="1026"/>
      <c r="E742" s="1026"/>
      <c r="F742" s="1026"/>
      <c r="G742" s="1026"/>
      <c r="H742" s="1026"/>
      <c r="I742" s="1026"/>
      <c r="J742" s="1026"/>
      <c r="K742" s="1026"/>
      <c r="L742" s="1026"/>
      <c r="M742" s="1026"/>
      <c r="N742" s="1026"/>
      <c r="O742" s="1026"/>
      <c r="P742" s="1026"/>
      <c r="Q742" s="1026"/>
      <c r="R742" s="1026"/>
      <c r="S742" s="1026"/>
      <c r="T742" s="1026"/>
      <c r="U742" s="1026"/>
      <c r="V742" s="1026"/>
      <c r="W742" s="1026"/>
      <c r="X742" s="1026"/>
      <c r="Y742" s="1026"/>
      <c r="Z742" s="1026"/>
    </row>
    <row r="743" spans="1:26">
      <c r="A743" s="1026"/>
      <c r="B743" s="1026"/>
      <c r="C743" s="1026"/>
      <c r="D743" s="1026"/>
      <c r="E743" s="1026"/>
      <c r="F743" s="1026"/>
      <c r="G743" s="1026"/>
      <c r="H743" s="1026"/>
      <c r="I743" s="1026"/>
      <c r="J743" s="1026"/>
      <c r="K743" s="1026"/>
      <c r="L743" s="1026"/>
      <c r="M743" s="1026"/>
      <c r="N743" s="1026"/>
      <c r="O743" s="1026"/>
      <c r="P743" s="1026"/>
      <c r="Q743" s="1026"/>
      <c r="R743" s="1026"/>
      <c r="S743" s="1026"/>
      <c r="T743" s="1026"/>
      <c r="U743" s="1026"/>
      <c r="V743" s="1026"/>
      <c r="W743" s="1026"/>
      <c r="X743" s="1026"/>
      <c r="Y743" s="1026"/>
      <c r="Z743" s="1026"/>
    </row>
    <row r="744" spans="1:26">
      <c r="A744" s="1026"/>
      <c r="B744" s="1026"/>
      <c r="C744" s="1026"/>
      <c r="D744" s="1026"/>
      <c r="E744" s="1026"/>
      <c r="F744" s="1026"/>
      <c r="G744" s="1026"/>
      <c r="H744" s="1026"/>
      <c r="I744" s="1026"/>
      <c r="J744" s="1026"/>
      <c r="K744" s="1026"/>
      <c r="L744" s="1026"/>
      <c r="M744" s="1026"/>
      <c r="N744" s="1026"/>
      <c r="O744" s="1026"/>
      <c r="P744" s="1026"/>
      <c r="Q744" s="1026"/>
      <c r="R744" s="1026"/>
      <c r="S744" s="1026"/>
      <c r="T744" s="1026"/>
      <c r="U744" s="1026"/>
      <c r="V744" s="1026"/>
      <c r="W744" s="1026"/>
      <c r="X744" s="1026"/>
      <c r="Y744" s="1026"/>
      <c r="Z744" s="1026"/>
    </row>
    <row r="745" spans="1:26">
      <c r="A745" s="1026"/>
      <c r="B745" s="1026"/>
      <c r="C745" s="1026"/>
      <c r="D745" s="1026"/>
      <c r="E745" s="1026"/>
      <c r="F745" s="1026"/>
      <c r="G745" s="1026"/>
      <c r="H745" s="1026"/>
      <c r="I745" s="1026"/>
      <c r="J745" s="1026"/>
      <c r="K745" s="1026"/>
      <c r="L745" s="1026"/>
      <c r="M745" s="1026"/>
      <c r="N745" s="1026"/>
      <c r="O745" s="1026"/>
      <c r="P745" s="1026"/>
      <c r="Q745" s="1026"/>
      <c r="R745" s="1026"/>
      <c r="S745" s="1026"/>
      <c r="T745" s="1026"/>
      <c r="U745" s="1026"/>
      <c r="V745" s="1026"/>
      <c r="W745" s="1026"/>
      <c r="X745" s="1026"/>
      <c r="Y745" s="1026"/>
      <c r="Z745" s="1026"/>
    </row>
    <row r="746" spans="1:26">
      <c r="A746" s="1026"/>
      <c r="B746" s="1026"/>
      <c r="C746" s="1026"/>
      <c r="D746" s="1026"/>
      <c r="E746" s="1026"/>
      <c r="F746" s="1026"/>
      <c r="G746" s="1026"/>
      <c r="H746" s="1026"/>
      <c r="I746" s="1026"/>
      <c r="J746" s="1026"/>
      <c r="K746" s="1026"/>
      <c r="L746" s="1026"/>
      <c r="M746" s="1026"/>
      <c r="N746" s="1026"/>
      <c r="O746" s="1026"/>
      <c r="P746" s="1026"/>
      <c r="Q746" s="1026"/>
      <c r="R746" s="1026"/>
      <c r="S746" s="1026"/>
      <c r="T746" s="1026"/>
      <c r="U746" s="1026"/>
      <c r="V746" s="1026"/>
      <c r="W746" s="1026"/>
      <c r="X746" s="1026"/>
      <c r="Y746" s="1026"/>
      <c r="Z746" s="1026"/>
    </row>
    <row r="747" spans="1:26">
      <c r="A747" s="1026"/>
      <c r="B747" s="1026"/>
      <c r="C747" s="1026"/>
      <c r="D747" s="1026"/>
      <c r="E747" s="1026"/>
      <c r="F747" s="1026"/>
      <c r="G747" s="1026"/>
      <c r="H747" s="1026"/>
      <c r="I747" s="1026"/>
      <c r="J747" s="1026"/>
      <c r="K747" s="1026"/>
      <c r="L747" s="1026"/>
      <c r="M747" s="1026"/>
      <c r="N747" s="1026"/>
      <c r="O747" s="1026"/>
      <c r="P747" s="1026"/>
      <c r="Q747" s="1026"/>
      <c r="R747" s="1026"/>
      <c r="S747" s="1026"/>
      <c r="T747" s="1026"/>
      <c r="U747" s="1026"/>
      <c r="V747" s="1026"/>
      <c r="W747" s="1026"/>
      <c r="X747" s="1026"/>
      <c r="Y747" s="1026"/>
      <c r="Z747" s="1026"/>
    </row>
    <row r="748" spans="1:26">
      <c r="A748" s="1026"/>
      <c r="B748" s="1026"/>
      <c r="C748" s="1026"/>
      <c r="D748" s="1026"/>
      <c r="E748" s="1026"/>
      <c r="F748" s="1026"/>
      <c r="G748" s="1026"/>
      <c r="H748" s="1026"/>
      <c r="I748" s="1026"/>
      <c r="J748" s="1026"/>
      <c r="K748" s="1026"/>
      <c r="L748" s="1026"/>
      <c r="M748" s="1026"/>
      <c r="N748" s="1026"/>
      <c r="O748" s="1026"/>
      <c r="P748" s="1026"/>
      <c r="Q748" s="1026"/>
      <c r="R748" s="1026"/>
      <c r="S748" s="1026"/>
      <c r="T748" s="1026"/>
      <c r="U748" s="1026"/>
      <c r="V748" s="1026"/>
      <c r="W748" s="1026"/>
      <c r="X748" s="1026"/>
      <c r="Y748" s="1026"/>
      <c r="Z748" s="1026"/>
    </row>
    <row r="749" spans="1:26">
      <c r="A749" s="1026"/>
      <c r="B749" s="1026"/>
      <c r="C749" s="1026"/>
      <c r="D749" s="1026"/>
      <c r="E749" s="1026"/>
      <c r="F749" s="1026"/>
      <c r="G749" s="1026"/>
      <c r="H749" s="1026"/>
      <c r="I749" s="1026"/>
      <c r="J749" s="1026"/>
      <c r="K749" s="1026"/>
      <c r="L749" s="1026"/>
      <c r="M749" s="1026"/>
      <c r="N749" s="1026"/>
      <c r="O749" s="1026"/>
      <c r="P749" s="1026"/>
      <c r="Q749" s="1026"/>
      <c r="R749" s="1026"/>
      <c r="S749" s="1026"/>
      <c r="T749" s="1026"/>
      <c r="U749" s="1026"/>
      <c r="V749" s="1026"/>
      <c r="W749" s="1026"/>
      <c r="X749" s="1026"/>
      <c r="Y749" s="1026"/>
      <c r="Z749" s="1026"/>
    </row>
    <row r="750" spans="1:26">
      <c r="A750" s="1026"/>
      <c r="B750" s="1026"/>
      <c r="C750" s="1026"/>
      <c r="D750" s="1026"/>
      <c r="E750" s="1026"/>
      <c r="F750" s="1026"/>
      <c r="G750" s="1026"/>
      <c r="H750" s="1026"/>
      <c r="I750" s="1026"/>
      <c r="J750" s="1026"/>
      <c r="K750" s="1026"/>
      <c r="L750" s="1026"/>
      <c r="M750" s="1026"/>
      <c r="N750" s="1026"/>
      <c r="O750" s="1026"/>
      <c r="P750" s="1026"/>
      <c r="Q750" s="1026"/>
      <c r="R750" s="1026"/>
      <c r="S750" s="1026"/>
      <c r="T750" s="1026"/>
      <c r="U750" s="1026"/>
      <c r="V750" s="1026"/>
      <c r="W750" s="1026"/>
      <c r="X750" s="1026"/>
      <c r="Y750" s="1026"/>
      <c r="Z750" s="1026"/>
    </row>
    <row r="751" spans="1:26">
      <c r="A751" s="1026"/>
      <c r="B751" s="1026"/>
      <c r="C751" s="1026"/>
      <c r="D751" s="1026"/>
      <c r="E751" s="1026"/>
      <c r="F751" s="1026"/>
      <c r="G751" s="1026"/>
      <c r="H751" s="1026"/>
      <c r="I751" s="1026"/>
      <c r="J751" s="1026"/>
      <c r="K751" s="1026"/>
      <c r="L751" s="1026"/>
      <c r="M751" s="1026"/>
      <c r="N751" s="1026"/>
      <c r="O751" s="1026"/>
      <c r="P751" s="1026"/>
      <c r="Q751" s="1026"/>
      <c r="R751" s="1026"/>
      <c r="S751" s="1026"/>
      <c r="T751" s="1026"/>
      <c r="U751" s="1026"/>
      <c r="V751" s="1026"/>
      <c r="W751" s="1026"/>
      <c r="X751" s="1026"/>
      <c r="Y751" s="1026"/>
      <c r="Z751" s="1026"/>
    </row>
    <row r="752" spans="1:26">
      <c r="A752" s="1026"/>
      <c r="B752" s="1026"/>
      <c r="C752" s="1026"/>
      <c r="D752" s="1026"/>
      <c r="E752" s="1026"/>
      <c r="F752" s="1026"/>
      <c r="G752" s="1026"/>
      <c r="H752" s="1026"/>
      <c r="I752" s="1026"/>
      <c r="J752" s="1026"/>
      <c r="K752" s="1026"/>
      <c r="L752" s="1026"/>
      <c r="M752" s="1026"/>
      <c r="N752" s="1026"/>
      <c r="O752" s="1026"/>
      <c r="P752" s="1026"/>
      <c r="Q752" s="1026"/>
      <c r="R752" s="1026"/>
      <c r="S752" s="1026"/>
      <c r="T752" s="1026"/>
      <c r="U752" s="1026"/>
      <c r="V752" s="1026"/>
      <c r="W752" s="1026"/>
      <c r="X752" s="1026"/>
      <c r="Y752" s="1026"/>
      <c r="Z752" s="1026"/>
    </row>
    <row r="753" spans="1:26">
      <c r="A753" s="1026"/>
      <c r="B753" s="1026"/>
      <c r="C753" s="1026"/>
      <c r="D753" s="1026"/>
      <c r="E753" s="1026"/>
      <c r="F753" s="1026"/>
      <c r="G753" s="1026"/>
      <c r="H753" s="1026"/>
      <c r="I753" s="1026"/>
      <c r="J753" s="1026"/>
      <c r="K753" s="1026"/>
      <c r="L753" s="1026"/>
      <c r="M753" s="1026"/>
      <c r="N753" s="1026"/>
      <c r="O753" s="1026"/>
      <c r="P753" s="1026"/>
      <c r="Q753" s="1026"/>
      <c r="R753" s="1026"/>
      <c r="S753" s="1026"/>
      <c r="T753" s="1026"/>
      <c r="U753" s="1026"/>
      <c r="V753" s="1026"/>
      <c r="W753" s="1026"/>
      <c r="X753" s="1026"/>
      <c r="Y753" s="1026"/>
      <c r="Z753" s="1026"/>
    </row>
    <row r="754" spans="1:26">
      <c r="A754" s="1026"/>
      <c r="B754" s="1026"/>
      <c r="C754" s="1026"/>
      <c r="D754" s="1026"/>
      <c r="E754" s="1026"/>
      <c r="F754" s="1026"/>
      <c r="G754" s="1026"/>
      <c r="H754" s="1026"/>
      <c r="I754" s="1026"/>
      <c r="J754" s="1026"/>
      <c r="K754" s="1026"/>
      <c r="L754" s="1026"/>
      <c r="M754" s="1026"/>
      <c r="N754" s="1026"/>
      <c r="O754" s="1026"/>
      <c r="P754" s="1026"/>
      <c r="Q754" s="1026"/>
      <c r="R754" s="1026"/>
      <c r="S754" s="1026"/>
      <c r="T754" s="1026"/>
      <c r="U754" s="1026"/>
      <c r="V754" s="1026"/>
      <c r="W754" s="1026"/>
      <c r="X754" s="1026"/>
      <c r="Y754" s="1026"/>
      <c r="Z754" s="1026"/>
    </row>
    <row r="755" spans="1:26">
      <c r="A755" s="1026"/>
      <c r="B755" s="1026"/>
      <c r="C755" s="1026"/>
      <c r="D755" s="1026"/>
      <c r="E755" s="1026"/>
      <c r="F755" s="1026"/>
      <c r="G755" s="1026"/>
      <c r="H755" s="1026"/>
      <c r="I755" s="1026"/>
      <c r="J755" s="1026"/>
      <c r="K755" s="1026"/>
      <c r="L755" s="1026"/>
      <c r="M755" s="1026"/>
      <c r="N755" s="1026"/>
      <c r="O755" s="1026"/>
      <c r="P755" s="1026"/>
      <c r="Q755" s="1026"/>
      <c r="R755" s="1026"/>
      <c r="S755" s="1026"/>
      <c r="T755" s="1026"/>
      <c r="U755" s="1026"/>
      <c r="V755" s="1026"/>
      <c r="W755" s="1026"/>
      <c r="X755" s="1026"/>
      <c r="Y755" s="1026"/>
      <c r="Z755" s="1026"/>
    </row>
    <row r="756" spans="1:26">
      <c r="A756" s="1026"/>
      <c r="B756" s="1026"/>
      <c r="C756" s="1026"/>
      <c r="D756" s="1026"/>
      <c r="E756" s="1026"/>
      <c r="F756" s="1026"/>
      <c r="G756" s="1026"/>
      <c r="H756" s="1026"/>
      <c r="I756" s="1026"/>
      <c r="J756" s="1026"/>
      <c r="K756" s="1026"/>
      <c r="L756" s="1026"/>
      <c r="M756" s="1026"/>
      <c r="N756" s="1026"/>
      <c r="O756" s="1026"/>
      <c r="P756" s="1026"/>
      <c r="Q756" s="1026"/>
      <c r="R756" s="1026"/>
      <c r="S756" s="1026"/>
      <c r="T756" s="1026"/>
      <c r="U756" s="1026"/>
      <c r="V756" s="1026"/>
      <c r="W756" s="1026"/>
      <c r="X756" s="1026"/>
      <c r="Y756" s="1026"/>
      <c r="Z756" s="1026"/>
    </row>
    <row r="757" spans="1:26">
      <c r="A757" s="1026"/>
      <c r="B757" s="1026"/>
      <c r="C757" s="1026"/>
      <c r="D757" s="1026"/>
      <c r="E757" s="1026"/>
      <c r="F757" s="1026"/>
      <c r="G757" s="1026"/>
      <c r="H757" s="1026"/>
      <c r="I757" s="1026"/>
      <c r="J757" s="1026"/>
      <c r="K757" s="1026"/>
      <c r="L757" s="1026"/>
      <c r="M757" s="1026"/>
      <c r="N757" s="1026"/>
      <c r="O757" s="1026"/>
      <c r="P757" s="1026"/>
      <c r="Q757" s="1026"/>
      <c r="R757" s="1026"/>
      <c r="S757" s="1026"/>
      <c r="T757" s="1026"/>
      <c r="U757" s="1026"/>
      <c r="V757" s="1026"/>
      <c r="W757" s="1026"/>
      <c r="X757" s="1026"/>
      <c r="Y757" s="1026"/>
      <c r="Z757" s="1026"/>
    </row>
    <row r="758" spans="1:26">
      <c r="A758" s="1026"/>
      <c r="B758" s="1026"/>
      <c r="C758" s="1026"/>
      <c r="D758" s="1026"/>
      <c r="E758" s="1026"/>
      <c r="F758" s="1026"/>
      <c r="G758" s="1026"/>
      <c r="H758" s="1026"/>
      <c r="I758" s="1026"/>
      <c r="J758" s="1026"/>
      <c r="K758" s="1026"/>
      <c r="L758" s="1026"/>
      <c r="M758" s="1026"/>
      <c r="N758" s="1026"/>
      <c r="O758" s="1026"/>
      <c r="P758" s="1026"/>
      <c r="Q758" s="1026"/>
      <c r="R758" s="1026"/>
      <c r="S758" s="1026"/>
      <c r="T758" s="1026"/>
      <c r="U758" s="1026"/>
      <c r="V758" s="1026"/>
      <c r="W758" s="1026"/>
      <c r="X758" s="1026"/>
      <c r="Y758" s="1026"/>
      <c r="Z758" s="1026"/>
    </row>
    <row r="759" spans="1:26">
      <c r="A759" s="1026"/>
      <c r="B759" s="1026"/>
      <c r="C759" s="1026"/>
      <c r="D759" s="1026"/>
      <c r="E759" s="1026"/>
      <c r="F759" s="1026"/>
      <c r="G759" s="1026"/>
      <c r="H759" s="1026"/>
      <c r="I759" s="1026"/>
      <c r="J759" s="1026"/>
      <c r="K759" s="1026"/>
      <c r="L759" s="1026"/>
      <c r="M759" s="1026"/>
      <c r="N759" s="1026"/>
      <c r="O759" s="1026"/>
      <c r="P759" s="1026"/>
      <c r="Q759" s="1026"/>
      <c r="R759" s="1026"/>
      <c r="S759" s="1026"/>
      <c r="T759" s="1026"/>
      <c r="U759" s="1026"/>
      <c r="V759" s="1026"/>
      <c r="W759" s="1026"/>
      <c r="X759" s="1026"/>
      <c r="Y759" s="1026"/>
      <c r="Z759" s="1026"/>
    </row>
    <row r="760" spans="1:26">
      <c r="A760" s="1026"/>
      <c r="B760" s="1026"/>
      <c r="C760" s="1026"/>
      <c r="D760" s="1026"/>
      <c r="E760" s="1026"/>
      <c r="F760" s="1026"/>
      <c r="G760" s="1026"/>
      <c r="H760" s="1026"/>
      <c r="I760" s="1026"/>
      <c r="J760" s="1026"/>
      <c r="K760" s="1026"/>
      <c r="L760" s="1026"/>
      <c r="M760" s="1026"/>
      <c r="N760" s="1026"/>
      <c r="O760" s="1026"/>
      <c r="P760" s="1026"/>
      <c r="Q760" s="1026"/>
      <c r="R760" s="1026"/>
      <c r="S760" s="1026"/>
      <c r="T760" s="1026"/>
      <c r="U760" s="1026"/>
      <c r="V760" s="1026"/>
      <c r="W760" s="1026"/>
      <c r="X760" s="1026"/>
      <c r="Y760" s="1026"/>
      <c r="Z760" s="1026"/>
    </row>
    <row r="761" spans="1:26">
      <c r="A761" s="1026"/>
      <c r="B761" s="1026"/>
      <c r="C761" s="1026"/>
      <c r="D761" s="1026"/>
      <c r="E761" s="1026"/>
      <c r="F761" s="1026"/>
      <c r="G761" s="1026"/>
      <c r="H761" s="1026"/>
      <c r="I761" s="1026"/>
      <c r="J761" s="1026"/>
      <c r="K761" s="1026"/>
      <c r="L761" s="1026"/>
      <c r="M761" s="1026"/>
      <c r="N761" s="1026"/>
      <c r="O761" s="1026"/>
      <c r="P761" s="1026"/>
      <c r="Q761" s="1026"/>
      <c r="R761" s="1026"/>
      <c r="S761" s="1026"/>
      <c r="T761" s="1026"/>
      <c r="U761" s="1026"/>
      <c r="V761" s="1026"/>
      <c r="W761" s="1026"/>
      <c r="X761" s="1026"/>
      <c r="Y761" s="1026"/>
      <c r="Z761" s="1026"/>
    </row>
    <row r="762" spans="1:26">
      <c r="A762" s="1026"/>
      <c r="B762" s="1026"/>
      <c r="C762" s="1026"/>
      <c r="D762" s="1026"/>
      <c r="E762" s="1026"/>
      <c r="F762" s="1026"/>
      <c r="G762" s="1026"/>
      <c r="H762" s="1026"/>
      <c r="I762" s="1026"/>
      <c r="J762" s="1026"/>
      <c r="K762" s="1026"/>
      <c r="L762" s="1026"/>
      <c r="M762" s="1026"/>
      <c r="N762" s="1026"/>
      <c r="O762" s="1026"/>
      <c r="P762" s="1026"/>
      <c r="Q762" s="1026"/>
      <c r="R762" s="1026"/>
      <c r="S762" s="1026"/>
      <c r="T762" s="1026"/>
      <c r="U762" s="1026"/>
      <c r="V762" s="1026"/>
      <c r="W762" s="1026"/>
      <c r="X762" s="1026"/>
      <c r="Y762" s="1026"/>
      <c r="Z762" s="1026"/>
    </row>
    <row r="763" spans="1:26">
      <c r="A763" s="1026"/>
      <c r="B763" s="1026"/>
      <c r="C763" s="1026"/>
      <c r="D763" s="1026"/>
      <c r="E763" s="1026"/>
      <c r="F763" s="1026"/>
      <c r="G763" s="1026"/>
      <c r="H763" s="1026"/>
      <c r="I763" s="1026"/>
      <c r="J763" s="1026"/>
      <c r="K763" s="1026"/>
      <c r="L763" s="1026"/>
      <c r="M763" s="1026"/>
      <c r="N763" s="1026"/>
      <c r="O763" s="1026"/>
      <c r="P763" s="1026"/>
      <c r="Q763" s="1026"/>
      <c r="R763" s="1026"/>
      <c r="S763" s="1026"/>
      <c r="T763" s="1026"/>
      <c r="U763" s="1026"/>
      <c r="V763" s="1026"/>
      <c r="W763" s="1026"/>
      <c r="X763" s="1026"/>
      <c r="Y763" s="1026"/>
      <c r="Z763" s="1026"/>
    </row>
    <row r="764" spans="1:26">
      <c r="A764" s="1026"/>
      <c r="B764" s="1026"/>
      <c r="C764" s="1026"/>
      <c r="D764" s="1026"/>
      <c r="E764" s="1026"/>
      <c r="F764" s="1026"/>
      <c r="G764" s="1026"/>
      <c r="H764" s="1026"/>
      <c r="I764" s="1026"/>
      <c r="J764" s="1026"/>
      <c r="K764" s="1026"/>
      <c r="L764" s="1026"/>
      <c r="M764" s="1026"/>
      <c r="N764" s="1026"/>
      <c r="O764" s="1026"/>
      <c r="P764" s="1026"/>
      <c r="Q764" s="1026"/>
      <c r="R764" s="1026"/>
      <c r="S764" s="1026"/>
      <c r="T764" s="1026"/>
      <c r="U764" s="1026"/>
      <c r="V764" s="1026"/>
      <c r="W764" s="1026"/>
      <c r="X764" s="1026"/>
      <c r="Y764" s="1026"/>
      <c r="Z764" s="1026"/>
    </row>
    <row r="765" spans="1:26">
      <c r="A765" s="1026"/>
      <c r="B765" s="1026"/>
      <c r="C765" s="1026"/>
      <c r="D765" s="1026"/>
      <c r="E765" s="1026"/>
      <c r="F765" s="1026"/>
      <c r="G765" s="1026"/>
      <c r="H765" s="1026"/>
      <c r="I765" s="1026"/>
      <c r="J765" s="1026"/>
      <c r="K765" s="1026"/>
      <c r="L765" s="1026"/>
      <c r="M765" s="1026"/>
      <c r="N765" s="1026"/>
      <c r="O765" s="1026"/>
      <c r="P765" s="1026"/>
      <c r="Q765" s="1026"/>
      <c r="R765" s="1026"/>
      <c r="S765" s="1026"/>
      <c r="T765" s="1026"/>
      <c r="U765" s="1026"/>
      <c r="V765" s="1026"/>
      <c r="W765" s="1026"/>
      <c r="X765" s="1026"/>
      <c r="Y765" s="1026"/>
      <c r="Z765" s="1026"/>
    </row>
    <row r="766" spans="1:26">
      <c r="A766" s="1026"/>
      <c r="B766" s="1026"/>
      <c r="C766" s="1026"/>
      <c r="D766" s="1026"/>
      <c r="E766" s="1026"/>
      <c r="F766" s="1026"/>
      <c r="G766" s="1026"/>
      <c r="H766" s="1026"/>
      <c r="I766" s="1026"/>
      <c r="J766" s="1026"/>
      <c r="K766" s="1026"/>
      <c r="L766" s="1026"/>
      <c r="M766" s="1026"/>
      <c r="N766" s="1026"/>
      <c r="O766" s="1026"/>
      <c r="P766" s="1026"/>
      <c r="Q766" s="1026"/>
      <c r="R766" s="1026"/>
      <c r="S766" s="1026"/>
      <c r="T766" s="1026"/>
      <c r="U766" s="1026"/>
      <c r="V766" s="1026"/>
      <c r="W766" s="1026"/>
      <c r="X766" s="1026"/>
      <c r="Y766" s="1026"/>
      <c r="Z766" s="1026"/>
    </row>
    <row r="767" spans="1:26">
      <c r="A767" s="1026"/>
      <c r="B767" s="1026"/>
      <c r="C767" s="1026"/>
      <c r="D767" s="1026"/>
      <c r="E767" s="1026"/>
      <c r="F767" s="1026"/>
      <c r="G767" s="1026"/>
      <c r="H767" s="1026"/>
      <c r="I767" s="1026"/>
      <c r="J767" s="1026"/>
      <c r="K767" s="1026"/>
      <c r="L767" s="1026"/>
      <c r="M767" s="1026"/>
      <c r="N767" s="1026"/>
      <c r="O767" s="1026"/>
      <c r="P767" s="1026"/>
      <c r="Q767" s="1026"/>
      <c r="R767" s="1026"/>
      <c r="S767" s="1026"/>
      <c r="T767" s="1026"/>
      <c r="U767" s="1026"/>
      <c r="V767" s="1026"/>
      <c r="W767" s="1026"/>
      <c r="X767" s="1026"/>
      <c r="Y767" s="1026"/>
      <c r="Z767" s="1026"/>
    </row>
    <row r="768" spans="1:26">
      <c r="A768" s="1026"/>
      <c r="B768" s="1026"/>
      <c r="C768" s="1026"/>
      <c r="D768" s="1026"/>
      <c r="E768" s="1026"/>
      <c r="F768" s="1026"/>
      <c r="G768" s="1026"/>
      <c r="H768" s="1026"/>
      <c r="I768" s="1026"/>
      <c r="J768" s="1026"/>
      <c r="K768" s="1026"/>
      <c r="L768" s="1026"/>
      <c r="M768" s="1026"/>
      <c r="N768" s="1026"/>
      <c r="O768" s="1026"/>
      <c r="P768" s="1026"/>
      <c r="Q768" s="1026"/>
      <c r="R768" s="1026"/>
      <c r="S768" s="1026"/>
      <c r="T768" s="1026"/>
      <c r="U768" s="1026"/>
      <c r="V768" s="1026"/>
      <c r="W768" s="1026"/>
      <c r="X768" s="1026"/>
      <c r="Y768" s="1026"/>
      <c r="Z768" s="1026"/>
    </row>
    <row r="769" spans="1:26">
      <c r="A769" s="1026"/>
      <c r="B769" s="1026"/>
      <c r="C769" s="1026"/>
      <c r="D769" s="1026"/>
      <c r="E769" s="1026"/>
      <c r="F769" s="1026"/>
      <c r="G769" s="1026"/>
      <c r="H769" s="1026"/>
      <c r="I769" s="1026"/>
      <c r="J769" s="1026"/>
      <c r="K769" s="1026"/>
      <c r="L769" s="1026"/>
      <c r="M769" s="1026"/>
      <c r="N769" s="1026"/>
      <c r="O769" s="1026"/>
      <c r="P769" s="1026"/>
      <c r="Q769" s="1026"/>
      <c r="R769" s="1026"/>
      <c r="S769" s="1026"/>
      <c r="T769" s="1026"/>
      <c r="U769" s="1026"/>
      <c r="V769" s="1026"/>
      <c r="W769" s="1026"/>
      <c r="X769" s="1026"/>
      <c r="Y769" s="1026"/>
      <c r="Z769" s="1026"/>
    </row>
    <row r="770" spans="1:26">
      <c r="A770" s="1026"/>
      <c r="B770" s="1026"/>
      <c r="C770" s="1026"/>
      <c r="D770" s="1026"/>
      <c r="E770" s="1026"/>
      <c r="F770" s="1026"/>
      <c r="G770" s="1026"/>
      <c r="H770" s="1026"/>
      <c r="I770" s="1026"/>
      <c r="J770" s="1026"/>
      <c r="K770" s="1026"/>
      <c r="L770" s="1026"/>
      <c r="M770" s="1026"/>
      <c r="N770" s="1026"/>
      <c r="O770" s="1026"/>
      <c r="P770" s="1026"/>
      <c r="Q770" s="1026"/>
      <c r="R770" s="1026"/>
      <c r="S770" s="1026"/>
      <c r="T770" s="1026"/>
      <c r="U770" s="1026"/>
      <c r="V770" s="1026"/>
      <c r="W770" s="1026"/>
      <c r="X770" s="1026"/>
      <c r="Y770" s="1026"/>
      <c r="Z770" s="1026"/>
    </row>
    <row r="771" spans="1:26">
      <c r="A771" s="1026"/>
      <c r="B771" s="1026"/>
      <c r="C771" s="1026"/>
      <c r="D771" s="1026"/>
      <c r="E771" s="1026"/>
      <c r="F771" s="1026"/>
      <c r="G771" s="1026"/>
      <c r="H771" s="1026"/>
      <c r="I771" s="1026"/>
      <c r="J771" s="1026"/>
      <c r="K771" s="1026"/>
      <c r="L771" s="1026"/>
      <c r="M771" s="1026"/>
      <c r="N771" s="1026"/>
      <c r="O771" s="1026"/>
      <c r="P771" s="1026"/>
      <c r="Q771" s="1026"/>
      <c r="R771" s="1026"/>
      <c r="S771" s="1026"/>
      <c r="T771" s="1026"/>
      <c r="U771" s="1026"/>
      <c r="V771" s="1026"/>
      <c r="W771" s="1026"/>
      <c r="X771" s="1026"/>
      <c r="Y771" s="1026"/>
      <c r="Z771" s="1026"/>
    </row>
    <row r="772" spans="1:26">
      <c r="A772" s="1026"/>
      <c r="B772" s="1026"/>
      <c r="C772" s="1026"/>
      <c r="D772" s="1026"/>
      <c r="E772" s="1026"/>
      <c r="F772" s="1026"/>
      <c r="G772" s="1026"/>
      <c r="H772" s="1026"/>
      <c r="I772" s="1026"/>
      <c r="J772" s="1026"/>
      <c r="K772" s="1026"/>
      <c r="L772" s="1026"/>
      <c r="M772" s="1026"/>
      <c r="N772" s="1026"/>
      <c r="O772" s="1026"/>
      <c r="P772" s="1026"/>
      <c r="Q772" s="1026"/>
      <c r="R772" s="1026"/>
      <c r="S772" s="1026"/>
      <c r="T772" s="1026"/>
      <c r="U772" s="1026"/>
      <c r="V772" s="1026"/>
      <c r="W772" s="1026"/>
      <c r="X772" s="1026"/>
      <c r="Y772" s="1026"/>
      <c r="Z772" s="1026"/>
    </row>
    <row r="773" spans="1:26">
      <c r="A773" s="1026"/>
      <c r="B773" s="1026"/>
      <c r="C773" s="1026"/>
      <c r="D773" s="1026"/>
      <c r="E773" s="1026"/>
      <c r="F773" s="1026"/>
      <c r="G773" s="1026"/>
      <c r="H773" s="1026"/>
      <c r="I773" s="1026"/>
      <c r="J773" s="1026"/>
      <c r="K773" s="1026"/>
      <c r="L773" s="1026"/>
      <c r="M773" s="1026"/>
      <c r="N773" s="1026"/>
      <c r="O773" s="1026"/>
      <c r="P773" s="1026"/>
      <c r="Q773" s="1026"/>
      <c r="R773" s="1026"/>
      <c r="S773" s="1026"/>
      <c r="T773" s="1026"/>
      <c r="U773" s="1026"/>
      <c r="V773" s="1026"/>
      <c r="W773" s="1026"/>
      <c r="X773" s="1026"/>
      <c r="Y773" s="1026"/>
      <c r="Z773" s="1026"/>
    </row>
    <row r="774" spans="1:26">
      <c r="A774" s="1026"/>
      <c r="B774" s="1026"/>
      <c r="C774" s="1026"/>
      <c r="D774" s="1026"/>
      <c r="E774" s="1026"/>
      <c r="F774" s="1026"/>
      <c r="G774" s="1026"/>
      <c r="H774" s="1026"/>
      <c r="I774" s="1026"/>
      <c r="J774" s="1026"/>
      <c r="K774" s="1026"/>
      <c r="L774" s="1026"/>
      <c r="M774" s="1026"/>
      <c r="N774" s="1026"/>
      <c r="O774" s="1026"/>
      <c r="P774" s="1026"/>
      <c r="Q774" s="1026"/>
      <c r="R774" s="1026"/>
      <c r="S774" s="1026"/>
      <c r="T774" s="1026"/>
      <c r="U774" s="1026"/>
      <c r="V774" s="1026"/>
      <c r="W774" s="1026"/>
      <c r="X774" s="1026"/>
      <c r="Y774" s="1026"/>
      <c r="Z774" s="1026"/>
    </row>
    <row r="775" spans="1:26">
      <c r="A775" s="1026"/>
      <c r="B775" s="1026"/>
      <c r="C775" s="1026"/>
      <c r="D775" s="1026"/>
      <c r="E775" s="1026"/>
      <c r="F775" s="1026"/>
      <c r="G775" s="1026"/>
      <c r="H775" s="1026"/>
      <c r="I775" s="1026"/>
      <c r="J775" s="1026"/>
      <c r="K775" s="1026"/>
      <c r="L775" s="1026"/>
      <c r="M775" s="1026"/>
      <c r="N775" s="1026"/>
      <c r="O775" s="1026"/>
      <c r="P775" s="1026"/>
      <c r="Q775" s="1026"/>
      <c r="R775" s="1026"/>
      <c r="S775" s="1026"/>
      <c r="T775" s="1026"/>
      <c r="U775" s="1026"/>
      <c r="V775" s="1026"/>
      <c r="W775" s="1026"/>
      <c r="X775" s="1026"/>
      <c r="Y775" s="1026"/>
      <c r="Z775" s="1026"/>
    </row>
    <row r="776" spans="1:26">
      <c r="A776" s="1026"/>
      <c r="B776" s="1026"/>
      <c r="C776" s="1026"/>
      <c r="D776" s="1026"/>
      <c r="E776" s="1026"/>
      <c r="F776" s="1026"/>
      <c r="G776" s="1026"/>
      <c r="H776" s="1026"/>
      <c r="I776" s="1026"/>
      <c r="J776" s="1026"/>
      <c r="K776" s="1026"/>
      <c r="L776" s="1026"/>
      <c r="M776" s="1026"/>
      <c r="N776" s="1026"/>
      <c r="O776" s="1026"/>
      <c r="P776" s="1026"/>
      <c r="Q776" s="1026"/>
      <c r="R776" s="1026"/>
      <c r="S776" s="1026"/>
      <c r="T776" s="1026"/>
      <c r="U776" s="1026"/>
      <c r="V776" s="1026"/>
      <c r="W776" s="1026"/>
      <c r="X776" s="1026"/>
      <c r="Y776" s="1026"/>
      <c r="Z776" s="1026"/>
    </row>
    <row r="777" spans="1:26">
      <c r="A777" s="1026"/>
      <c r="B777" s="1026"/>
      <c r="C777" s="1026"/>
      <c r="D777" s="1026"/>
      <c r="E777" s="1026"/>
      <c r="F777" s="1026"/>
      <c r="G777" s="1026"/>
      <c r="H777" s="1026"/>
      <c r="I777" s="1026"/>
      <c r="J777" s="1026"/>
      <c r="K777" s="1026"/>
      <c r="L777" s="1026"/>
      <c r="M777" s="1026"/>
      <c r="N777" s="1026"/>
      <c r="O777" s="1026"/>
      <c r="P777" s="1026"/>
      <c r="Q777" s="1026"/>
      <c r="R777" s="1026"/>
      <c r="S777" s="1026"/>
      <c r="T777" s="1026"/>
      <c r="U777" s="1026"/>
      <c r="V777" s="1026"/>
      <c r="W777" s="1026"/>
      <c r="X777" s="1026"/>
      <c r="Y777" s="1026"/>
      <c r="Z777" s="1026"/>
    </row>
    <row r="778" spans="1:26">
      <c r="A778" s="1026"/>
      <c r="B778" s="1026"/>
      <c r="C778" s="1026"/>
      <c r="D778" s="1026"/>
      <c r="E778" s="1026"/>
      <c r="F778" s="1026"/>
      <c r="G778" s="1026"/>
      <c r="H778" s="1026"/>
      <c r="I778" s="1026"/>
      <c r="J778" s="1026"/>
      <c r="K778" s="1026"/>
      <c r="L778" s="1026"/>
      <c r="M778" s="1026"/>
      <c r="N778" s="1026"/>
      <c r="O778" s="1026"/>
      <c r="P778" s="1026"/>
      <c r="Q778" s="1026"/>
      <c r="R778" s="1026"/>
      <c r="S778" s="1026"/>
      <c r="T778" s="1026"/>
      <c r="U778" s="1026"/>
      <c r="V778" s="1026"/>
      <c r="W778" s="1026"/>
      <c r="X778" s="1026"/>
      <c r="Y778" s="1026"/>
      <c r="Z778" s="1026"/>
    </row>
    <row r="779" spans="1:26">
      <c r="A779" s="1026"/>
      <c r="B779" s="1026"/>
      <c r="C779" s="1026"/>
      <c r="D779" s="1026"/>
      <c r="E779" s="1026"/>
      <c r="F779" s="1026"/>
      <c r="G779" s="1026"/>
      <c r="H779" s="1026"/>
      <c r="I779" s="1026"/>
      <c r="J779" s="1026"/>
      <c r="K779" s="1026"/>
      <c r="L779" s="1026"/>
      <c r="M779" s="1026"/>
      <c r="N779" s="1026"/>
      <c r="O779" s="1026"/>
      <c r="P779" s="1026"/>
      <c r="Q779" s="1026"/>
      <c r="R779" s="1026"/>
      <c r="S779" s="1026"/>
      <c r="T779" s="1026"/>
      <c r="U779" s="1026"/>
      <c r="V779" s="1026"/>
      <c r="W779" s="1026"/>
      <c r="X779" s="1026"/>
      <c r="Y779" s="1026"/>
      <c r="Z779" s="1026"/>
    </row>
    <row r="780" spans="1:26">
      <c r="A780" s="1026"/>
      <c r="B780" s="1026"/>
      <c r="C780" s="1026"/>
      <c r="D780" s="1026"/>
      <c r="E780" s="1026"/>
      <c r="F780" s="1026"/>
      <c r="G780" s="1026"/>
      <c r="H780" s="1026"/>
      <c r="I780" s="1026"/>
      <c r="J780" s="1026"/>
      <c r="K780" s="1026"/>
      <c r="L780" s="1026"/>
      <c r="M780" s="1026"/>
      <c r="N780" s="1026"/>
      <c r="O780" s="1026"/>
      <c r="P780" s="1026"/>
      <c r="Q780" s="1026"/>
      <c r="R780" s="1026"/>
      <c r="S780" s="1026"/>
      <c r="T780" s="1026"/>
      <c r="U780" s="1026"/>
      <c r="V780" s="1026"/>
      <c r="W780" s="1026"/>
      <c r="X780" s="1026"/>
      <c r="Y780" s="1026"/>
      <c r="Z780" s="1026"/>
    </row>
    <row r="781" spans="1:26">
      <c r="A781" s="1026"/>
      <c r="B781" s="1026"/>
      <c r="C781" s="1026"/>
      <c r="D781" s="1026"/>
      <c r="E781" s="1026"/>
      <c r="F781" s="1026"/>
      <c r="G781" s="1026"/>
      <c r="H781" s="1026"/>
      <c r="I781" s="1026"/>
      <c r="J781" s="1026"/>
      <c r="K781" s="1026"/>
      <c r="L781" s="1026"/>
      <c r="M781" s="1026"/>
      <c r="N781" s="1026"/>
      <c r="O781" s="1026"/>
      <c r="P781" s="1026"/>
      <c r="Q781" s="1026"/>
      <c r="R781" s="1026"/>
      <c r="S781" s="1026"/>
      <c r="T781" s="1026"/>
      <c r="U781" s="1026"/>
      <c r="V781" s="1026"/>
      <c r="W781" s="1026"/>
      <c r="X781" s="1026"/>
      <c r="Y781" s="1026"/>
      <c r="Z781" s="1026"/>
    </row>
    <row r="782" spans="1:26">
      <c r="A782" s="1026"/>
      <c r="B782" s="1026"/>
      <c r="C782" s="1026"/>
      <c r="D782" s="1026"/>
      <c r="E782" s="1026"/>
      <c r="F782" s="1026"/>
      <c r="G782" s="1026"/>
      <c r="H782" s="1026"/>
      <c r="I782" s="1026"/>
      <c r="J782" s="1026"/>
      <c r="K782" s="1026"/>
      <c r="L782" s="1026"/>
      <c r="M782" s="1026"/>
      <c r="N782" s="1026"/>
      <c r="O782" s="1026"/>
      <c r="P782" s="1026"/>
      <c r="Q782" s="1026"/>
      <c r="R782" s="1026"/>
      <c r="S782" s="1026"/>
      <c r="T782" s="1026"/>
      <c r="U782" s="1026"/>
      <c r="V782" s="1026"/>
      <c r="W782" s="1026"/>
      <c r="X782" s="1026"/>
      <c r="Y782" s="1026"/>
      <c r="Z782" s="1026"/>
    </row>
    <row r="783" spans="1:26">
      <c r="A783" s="1026"/>
      <c r="B783" s="1026"/>
      <c r="C783" s="1026"/>
      <c r="D783" s="1026"/>
      <c r="E783" s="1026"/>
      <c r="F783" s="1026"/>
      <c r="G783" s="1026"/>
      <c r="H783" s="1026"/>
      <c r="I783" s="1026"/>
      <c r="J783" s="1026"/>
      <c r="K783" s="1026"/>
      <c r="L783" s="1026"/>
      <c r="M783" s="1026"/>
      <c r="N783" s="1026"/>
      <c r="O783" s="1026"/>
      <c r="P783" s="1026"/>
      <c r="Q783" s="1026"/>
      <c r="R783" s="1026"/>
      <c r="S783" s="1026"/>
      <c r="T783" s="1026"/>
      <c r="U783" s="1026"/>
      <c r="V783" s="1026"/>
      <c r="W783" s="1026"/>
      <c r="X783" s="1026"/>
      <c r="Y783" s="1026"/>
      <c r="Z783" s="1026"/>
    </row>
    <row r="784" spans="1:26">
      <c r="A784" s="1026"/>
      <c r="B784" s="1026"/>
      <c r="C784" s="1026"/>
      <c r="D784" s="1026"/>
      <c r="E784" s="1026"/>
      <c r="F784" s="1026"/>
      <c r="G784" s="1026"/>
      <c r="H784" s="1026"/>
      <c r="I784" s="1026"/>
      <c r="J784" s="1026"/>
      <c r="K784" s="1026"/>
      <c r="L784" s="1026"/>
      <c r="M784" s="1026"/>
      <c r="N784" s="1026"/>
      <c r="O784" s="1026"/>
      <c r="P784" s="1026"/>
      <c r="Q784" s="1026"/>
      <c r="R784" s="1026"/>
      <c r="S784" s="1026"/>
      <c r="T784" s="1026"/>
      <c r="U784" s="1026"/>
      <c r="V784" s="1026"/>
      <c r="W784" s="1026"/>
      <c r="X784" s="1026"/>
      <c r="Y784" s="1026"/>
      <c r="Z784" s="1026"/>
    </row>
    <row r="785" spans="1:26">
      <c r="A785" s="1026"/>
      <c r="B785" s="1026"/>
      <c r="C785" s="1026"/>
      <c r="D785" s="1026"/>
      <c r="E785" s="1026"/>
      <c r="F785" s="1026"/>
      <c r="G785" s="1026"/>
      <c r="H785" s="1026"/>
      <c r="I785" s="1026"/>
      <c r="J785" s="1026"/>
      <c r="K785" s="1026"/>
      <c r="L785" s="1026"/>
      <c r="M785" s="1026"/>
      <c r="N785" s="1026"/>
      <c r="O785" s="1026"/>
      <c r="P785" s="1026"/>
      <c r="Q785" s="1026"/>
      <c r="R785" s="1026"/>
      <c r="S785" s="1026"/>
      <c r="T785" s="1026"/>
      <c r="U785" s="1026"/>
      <c r="V785" s="1026"/>
      <c r="W785" s="1026"/>
      <c r="X785" s="1026"/>
      <c r="Y785" s="1026"/>
      <c r="Z785" s="1026"/>
    </row>
    <row r="786" spans="1:26">
      <c r="A786" s="1026"/>
      <c r="B786" s="1026"/>
      <c r="C786" s="1026"/>
      <c r="D786" s="1026"/>
      <c r="E786" s="1026"/>
      <c r="F786" s="1026"/>
      <c r="G786" s="1026"/>
      <c r="H786" s="1026"/>
      <c r="I786" s="1026"/>
      <c r="J786" s="1026"/>
      <c r="K786" s="1026"/>
      <c r="L786" s="1026"/>
      <c r="M786" s="1026"/>
      <c r="N786" s="1026"/>
      <c r="O786" s="1026"/>
      <c r="P786" s="1026"/>
      <c r="Q786" s="1026"/>
      <c r="R786" s="1026"/>
      <c r="S786" s="1026"/>
      <c r="T786" s="1026"/>
      <c r="U786" s="1026"/>
      <c r="V786" s="1026"/>
      <c r="W786" s="1026"/>
      <c r="X786" s="1026"/>
      <c r="Y786" s="1026"/>
      <c r="Z786" s="1026"/>
    </row>
    <row r="787" spans="1:26">
      <c r="A787" s="1026"/>
      <c r="B787" s="1026"/>
      <c r="C787" s="1026"/>
      <c r="D787" s="1026"/>
      <c r="E787" s="1026"/>
      <c r="F787" s="1026"/>
      <c r="G787" s="1026"/>
      <c r="H787" s="1026"/>
      <c r="I787" s="1026"/>
      <c r="J787" s="1026"/>
      <c r="K787" s="1026"/>
      <c r="L787" s="1026"/>
      <c r="M787" s="1026"/>
      <c r="N787" s="1026"/>
      <c r="O787" s="1026"/>
      <c r="P787" s="1026"/>
      <c r="Q787" s="1026"/>
      <c r="R787" s="1026"/>
      <c r="S787" s="1026"/>
      <c r="T787" s="1026"/>
      <c r="U787" s="1026"/>
      <c r="V787" s="1026"/>
      <c r="W787" s="1026"/>
      <c r="X787" s="1026"/>
      <c r="Y787" s="1026"/>
      <c r="Z787" s="1026"/>
    </row>
    <row r="788" spans="1:26">
      <c r="A788" s="1026"/>
      <c r="B788" s="1026"/>
      <c r="C788" s="1026"/>
      <c r="D788" s="1026"/>
      <c r="E788" s="1026"/>
      <c r="F788" s="1026"/>
      <c r="G788" s="1026"/>
      <c r="H788" s="1026"/>
      <c r="I788" s="1026"/>
      <c r="J788" s="1026"/>
      <c r="K788" s="1026"/>
      <c r="L788" s="1026"/>
      <c r="M788" s="1026"/>
      <c r="N788" s="1026"/>
      <c r="O788" s="1026"/>
      <c r="P788" s="1026"/>
      <c r="Q788" s="1026"/>
      <c r="R788" s="1026"/>
      <c r="S788" s="1026"/>
      <c r="T788" s="1026"/>
      <c r="U788" s="1026"/>
      <c r="V788" s="1026"/>
      <c r="W788" s="1026"/>
      <c r="X788" s="1026"/>
      <c r="Y788" s="1026"/>
      <c r="Z788" s="1026"/>
    </row>
    <row r="789" spans="1:26">
      <c r="A789" s="1026"/>
      <c r="B789" s="1026"/>
      <c r="C789" s="1026"/>
      <c r="D789" s="1026"/>
      <c r="E789" s="1026"/>
      <c r="F789" s="1026"/>
      <c r="G789" s="1026"/>
      <c r="H789" s="1026"/>
      <c r="I789" s="1026"/>
      <c r="J789" s="1026"/>
      <c r="K789" s="1026"/>
      <c r="L789" s="1026"/>
      <c r="M789" s="1026"/>
      <c r="N789" s="1026"/>
      <c r="O789" s="1026"/>
      <c r="P789" s="1026"/>
      <c r="Q789" s="1026"/>
      <c r="R789" s="1026"/>
      <c r="S789" s="1026"/>
      <c r="T789" s="1026"/>
      <c r="U789" s="1026"/>
      <c r="V789" s="1026"/>
      <c r="W789" s="1026"/>
      <c r="X789" s="1026"/>
      <c r="Y789" s="1026"/>
      <c r="Z789" s="1026"/>
    </row>
    <row r="790" spans="1:26">
      <c r="A790" s="1026"/>
      <c r="B790" s="1026"/>
      <c r="C790" s="1026"/>
      <c r="D790" s="1026"/>
      <c r="E790" s="1026"/>
      <c r="F790" s="1026"/>
      <c r="G790" s="1026"/>
      <c r="H790" s="1026"/>
      <c r="I790" s="1026"/>
      <c r="J790" s="1026"/>
      <c r="K790" s="1026"/>
      <c r="L790" s="1026"/>
      <c r="M790" s="1026"/>
      <c r="N790" s="1026"/>
      <c r="O790" s="1026"/>
      <c r="P790" s="1026"/>
      <c r="Q790" s="1026"/>
      <c r="R790" s="1026"/>
      <c r="S790" s="1026"/>
      <c r="T790" s="1026"/>
      <c r="U790" s="1026"/>
      <c r="V790" s="1026"/>
      <c r="W790" s="1026"/>
      <c r="X790" s="1026"/>
      <c r="Y790" s="1026"/>
      <c r="Z790" s="1026"/>
    </row>
    <row r="791" spans="1:26">
      <c r="A791" s="1026"/>
      <c r="B791" s="1026"/>
      <c r="C791" s="1026"/>
      <c r="D791" s="1026"/>
      <c r="E791" s="1026"/>
      <c r="F791" s="1026"/>
      <c r="G791" s="1026"/>
      <c r="H791" s="1026"/>
      <c r="I791" s="1026"/>
      <c r="J791" s="1026"/>
      <c r="K791" s="1026"/>
      <c r="L791" s="1026"/>
      <c r="M791" s="1026"/>
      <c r="N791" s="1026"/>
      <c r="O791" s="1026"/>
      <c r="P791" s="1026"/>
      <c r="Q791" s="1026"/>
      <c r="R791" s="1026"/>
      <c r="S791" s="1026"/>
      <c r="T791" s="1026"/>
      <c r="U791" s="1026"/>
      <c r="V791" s="1026"/>
      <c r="W791" s="1026"/>
      <c r="X791" s="1026"/>
      <c r="Y791" s="1026"/>
      <c r="Z791" s="1026"/>
    </row>
    <row r="792" spans="1:26">
      <c r="A792" s="1026"/>
      <c r="B792" s="1026"/>
      <c r="C792" s="1026"/>
      <c r="D792" s="1026"/>
      <c r="E792" s="1026"/>
      <c r="F792" s="1026"/>
      <c r="G792" s="1026"/>
      <c r="H792" s="1026"/>
      <c r="I792" s="1026"/>
      <c r="J792" s="1026"/>
      <c r="K792" s="1026"/>
      <c r="L792" s="1026"/>
      <c r="M792" s="1026"/>
      <c r="N792" s="1026"/>
      <c r="O792" s="1026"/>
      <c r="P792" s="1026"/>
      <c r="Q792" s="1026"/>
      <c r="R792" s="1026"/>
      <c r="S792" s="1026"/>
      <c r="T792" s="1026"/>
      <c r="U792" s="1026"/>
      <c r="V792" s="1026"/>
      <c r="W792" s="1026"/>
      <c r="X792" s="1026"/>
      <c r="Y792" s="1026"/>
      <c r="Z792" s="1026"/>
    </row>
    <row r="793" spans="1:26">
      <c r="A793" s="1026"/>
      <c r="B793" s="1026"/>
      <c r="C793" s="1026"/>
      <c r="D793" s="1026"/>
      <c r="E793" s="1026"/>
      <c r="F793" s="1026"/>
      <c r="G793" s="1026"/>
      <c r="H793" s="1026"/>
      <c r="I793" s="1026"/>
      <c r="J793" s="1026"/>
      <c r="K793" s="1026"/>
      <c r="L793" s="1026"/>
      <c r="M793" s="1026"/>
      <c r="N793" s="1026"/>
      <c r="O793" s="1026"/>
      <c r="P793" s="1026"/>
      <c r="Q793" s="1026"/>
      <c r="R793" s="1026"/>
      <c r="S793" s="1026"/>
      <c r="T793" s="1026"/>
      <c r="U793" s="1026"/>
      <c r="V793" s="1026"/>
      <c r="W793" s="1026"/>
      <c r="X793" s="1026"/>
      <c r="Y793" s="1026"/>
      <c r="Z793" s="1026"/>
    </row>
    <row r="794" spans="1:26">
      <c r="A794" s="1026"/>
      <c r="B794" s="1026"/>
      <c r="C794" s="1026"/>
      <c r="D794" s="1026"/>
      <c r="E794" s="1026"/>
      <c r="F794" s="1026"/>
      <c r="G794" s="1026"/>
      <c r="H794" s="1026"/>
      <c r="I794" s="1026"/>
      <c r="J794" s="1026"/>
      <c r="K794" s="1026"/>
      <c r="L794" s="1026"/>
      <c r="M794" s="1026"/>
      <c r="N794" s="1026"/>
      <c r="O794" s="1026"/>
      <c r="P794" s="1026"/>
      <c r="Q794" s="1026"/>
      <c r="R794" s="1026"/>
      <c r="S794" s="1026"/>
      <c r="T794" s="1026"/>
      <c r="U794" s="1026"/>
      <c r="V794" s="1026"/>
      <c r="W794" s="1026"/>
      <c r="X794" s="1026"/>
      <c r="Y794" s="1026"/>
      <c r="Z794" s="1026"/>
    </row>
    <row r="795" spans="1:26">
      <c r="A795" s="1026"/>
      <c r="B795" s="1026"/>
      <c r="C795" s="1026"/>
      <c r="D795" s="1026"/>
      <c r="E795" s="1026"/>
      <c r="F795" s="1026"/>
      <c r="G795" s="1026"/>
      <c r="H795" s="1026"/>
      <c r="I795" s="1026"/>
      <c r="J795" s="1026"/>
      <c r="K795" s="1026"/>
      <c r="L795" s="1026"/>
      <c r="M795" s="1026"/>
      <c r="N795" s="1026"/>
      <c r="O795" s="1026"/>
      <c r="P795" s="1026"/>
      <c r="Q795" s="1026"/>
      <c r="R795" s="1026"/>
      <c r="S795" s="1026"/>
      <c r="T795" s="1026"/>
      <c r="U795" s="1026"/>
      <c r="V795" s="1026"/>
      <c r="W795" s="1026"/>
      <c r="X795" s="1026"/>
      <c r="Y795" s="1026"/>
      <c r="Z795" s="1026"/>
    </row>
    <row r="796" spans="1:26">
      <c r="A796" s="1026"/>
      <c r="B796" s="1026"/>
      <c r="C796" s="1026"/>
      <c r="D796" s="1026"/>
      <c r="E796" s="1026"/>
      <c r="F796" s="1026"/>
      <c r="G796" s="1026"/>
      <c r="H796" s="1026"/>
      <c r="I796" s="1026"/>
      <c r="J796" s="1026"/>
      <c r="K796" s="1026"/>
      <c r="L796" s="1026"/>
      <c r="M796" s="1026"/>
      <c r="N796" s="1026"/>
      <c r="O796" s="1026"/>
      <c r="P796" s="1026"/>
      <c r="Q796" s="1026"/>
      <c r="R796" s="1026"/>
      <c r="S796" s="1026"/>
      <c r="T796" s="1026"/>
      <c r="U796" s="1026"/>
      <c r="V796" s="1026"/>
      <c r="W796" s="1026"/>
      <c r="X796" s="1026"/>
      <c r="Y796" s="1026"/>
      <c r="Z796" s="1026"/>
    </row>
    <row r="797" spans="1:26">
      <c r="A797" s="1026"/>
      <c r="B797" s="1026"/>
      <c r="C797" s="1026"/>
      <c r="D797" s="1026"/>
      <c r="E797" s="1026"/>
      <c r="F797" s="1026"/>
      <c r="G797" s="1026"/>
      <c r="H797" s="1026"/>
      <c r="I797" s="1026"/>
      <c r="J797" s="1026"/>
      <c r="K797" s="1026"/>
      <c r="L797" s="1026"/>
      <c r="M797" s="1026"/>
      <c r="N797" s="1026"/>
      <c r="O797" s="1026"/>
      <c r="P797" s="1026"/>
      <c r="Q797" s="1026"/>
      <c r="R797" s="1026"/>
      <c r="S797" s="1026"/>
      <c r="T797" s="1026"/>
      <c r="U797" s="1026"/>
      <c r="V797" s="1026"/>
      <c r="W797" s="1026"/>
      <c r="X797" s="1026"/>
      <c r="Y797" s="1026"/>
      <c r="Z797" s="1026"/>
    </row>
    <row r="798" spans="1:26">
      <c r="A798" s="1026"/>
      <c r="B798" s="1026"/>
      <c r="C798" s="1026"/>
      <c r="D798" s="1026"/>
      <c r="E798" s="1026"/>
      <c r="F798" s="1026"/>
      <c r="G798" s="1026"/>
      <c r="H798" s="1026"/>
      <c r="I798" s="1026"/>
      <c r="J798" s="1026"/>
      <c r="K798" s="1026"/>
      <c r="L798" s="1026"/>
      <c r="M798" s="1026"/>
      <c r="N798" s="1026"/>
      <c r="O798" s="1026"/>
      <c r="P798" s="1026"/>
      <c r="Q798" s="1026"/>
      <c r="R798" s="1026"/>
      <c r="S798" s="1026"/>
      <c r="T798" s="1026"/>
      <c r="U798" s="1026"/>
      <c r="V798" s="1026"/>
      <c r="W798" s="1026"/>
      <c r="X798" s="1026"/>
      <c r="Y798" s="1026"/>
      <c r="Z798" s="1026"/>
    </row>
    <row r="799" spans="1:26">
      <c r="A799" s="1026"/>
      <c r="B799" s="1026"/>
      <c r="C799" s="1026"/>
      <c r="D799" s="1026"/>
      <c r="E799" s="1026"/>
      <c r="F799" s="1026"/>
      <c r="G799" s="1026"/>
      <c r="H799" s="1026"/>
      <c r="I799" s="1026"/>
      <c r="J799" s="1026"/>
      <c r="K799" s="1026"/>
      <c r="L799" s="1026"/>
      <c r="M799" s="1026"/>
      <c r="N799" s="1026"/>
      <c r="O799" s="1026"/>
      <c r="P799" s="1026"/>
      <c r="Q799" s="1026"/>
      <c r="R799" s="1026"/>
      <c r="S799" s="1026"/>
      <c r="T799" s="1026"/>
      <c r="U799" s="1026"/>
      <c r="V799" s="1026"/>
      <c r="W799" s="1026"/>
      <c r="X799" s="1026"/>
      <c r="Y799" s="1026"/>
      <c r="Z799" s="1026"/>
    </row>
    <row r="800" spans="1:26">
      <c r="A800" s="1026"/>
      <c r="B800" s="1026"/>
      <c r="C800" s="1026"/>
      <c r="D800" s="1026"/>
      <c r="E800" s="1026"/>
      <c r="F800" s="1026"/>
      <c r="G800" s="1026"/>
      <c r="H800" s="1026"/>
      <c r="I800" s="1026"/>
      <c r="J800" s="1026"/>
      <c r="K800" s="1026"/>
      <c r="L800" s="1026"/>
      <c r="M800" s="1026"/>
      <c r="N800" s="1026"/>
      <c r="O800" s="1026"/>
      <c r="P800" s="1026"/>
      <c r="Q800" s="1026"/>
      <c r="R800" s="1026"/>
      <c r="S800" s="1026"/>
      <c r="T800" s="1026"/>
      <c r="U800" s="1026"/>
      <c r="V800" s="1026"/>
      <c r="W800" s="1026"/>
      <c r="X800" s="1026"/>
      <c r="Y800" s="1026"/>
      <c r="Z800" s="1026"/>
    </row>
    <row r="801" spans="1:26">
      <c r="A801" s="1026"/>
      <c r="B801" s="1026"/>
      <c r="C801" s="1026"/>
      <c r="D801" s="1026"/>
      <c r="E801" s="1026"/>
      <c r="F801" s="1026"/>
      <c r="G801" s="1026"/>
      <c r="H801" s="1026"/>
      <c r="I801" s="1026"/>
      <c r="J801" s="1026"/>
      <c r="K801" s="1026"/>
      <c r="L801" s="1026"/>
      <c r="M801" s="1026"/>
      <c r="N801" s="1026"/>
      <c r="O801" s="1026"/>
      <c r="P801" s="1026"/>
      <c r="Q801" s="1026"/>
      <c r="R801" s="1026"/>
      <c r="S801" s="1026"/>
      <c r="T801" s="1026"/>
      <c r="U801" s="1026"/>
      <c r="V801" s="1026"/>
      <c r="W801" s="1026"/>
      <c r="X801" s="1026"/>
      <c r="Y801" s="1026"/>
      <c r="Z801" s="1026"/>
    </row>
    <row r="802" spans="1:26">
      <c r="A802" s="1026"/>
      <c r="B802" s="1026"/>
      <c r="C802" s="1026"/>
      <c r="D802" s="1026"/>
      <c r="E802" s="1026"/>
      <c r="F802" s="1026"/>
      <c r="G802" s="1026"/>
      <c r="H802" s="1026"/>
      <c r="I802" s="1026"/>
      <c r="J802" s="1026"/>
      <c r="K802" s="1026"/>
      <c r="L802" s="1026"/>
      <c r="M802" s="1026"/>
      <c r="N802" s="1026"/>
      <c r="O802" s="1026"/>
      <c r="P802" s="1026"/>
      <c r="Q802" s="1026"/>
      <c r="R802" s="1026"/>
      <c r="S802" s="1026"/>
      <c r="T802" s="1026"/>
      <c r="U802" s="1026"/>
      <c r="V802" s="1026"/>
      <c r="W802" s="1026"/>
      <c r="X802" s="1026"/>
      <c r="Y802" s="1026"/>
      <c r="Z802" s="1026"/>
    </row>
    <row r="803" spans="1:26">
      <c r="A803" s="1026"/>
      <c r="B803" s="1026"/>
      <c r="C803" s="1026"/>
      <c r="D803" s="1026"/>
      <c r="E803" s="1026"/>
      <c r="F803" s="1026"/>
      <c r="G803" s="1026"/>
      <c r="H803" s="1026"/>
      <c r="I803" s="1026"/>
      <c r="J803" s="1026"/>
      <c r="K803" s="1026"/>
      <c r="L803" s="1026"/>
      <c r="M803" s="1026"/>
      <c r="N803" s="1026"/>
      <c r="O803" s="1026"/>
      <c r="P803" s="1026"/>
      <c r="Q803" s="1026"/>
      <c r="R803" s="1026"/>
      <c r="S803" s="1026"/>
      <c r="T803" s="1026"/>
      <c r="U803" s="1026"/>
      <c r="V803" s="1026"/>
      <c r="W803" s="1026"/>
      <c r="X803" s="1026"/>
      <c r="Y803" s="1026"/>
      <c r="Z803" s="1026"/>
    </row>
    <row r="804" spans="1:26">
      <c r="A804" s="1026"/>
      <c r="B804" s="1026"/>
      <c r="C804" s="1026"/>
      <c r="D804" s="1026"/>
      <c r="E804" s="1026"/>
      <c r="F804" s="1026"/>
      <c r="G804" s="1026"/>
      <c r="H804" s="1026"/>
      <c r="I804" s="1026"/>
      <c r="J804" s="1026"/>
      <c r="K804" s="1026"/>
      <c r="L804" s="1026"/>
      <c r="M804" s="1026"/>
      <c r="N804" s="1026"/>
      <c r="O804" s="1026"/>
      <c r="P804" s="1026"/>
      <c r="Q804" s="1026"/>
      <c r="R804" s="1026"/>
      <c r="S804" s="1026"/>
      <c r="T804" s="1026"/>
      <c r="U804" s="1026"/>
      <c r="V804" s="1026"/>
      <c r="W804" s="1026"/>
      <c r="X804" s="1026"/>
      <c r="Y804" s="1026"/>
      <c r="Z804" s="1026"/>
    </row>
    <row r="805" spans="1:26">
      <c r="A805" s="1026"/>
      <c r="B805" s="1026"/>
      <c r="C805" s="1026"/>
      <c r="D805" s="1026"/>
      <c r="E805" s="1026"/>
      <c r="F805" s="1026"/>
      <c r="G805" s="1026"/>
      <c r="H805" s="1026"/>
      <c r="I805" s="1026"/>
      <c r="J805" s="1026"/>
      <c r="K805" s="1026"/>
      <c r="L805" s="1026"/>
      <c r="M805" s="1026"/>
      <c r="N805" s="1026"/>
      <c r="O805" s="1026"/>
      <c r="P805" s="1026"/>
      <c r="Q805" s="1026"/>
      <c r="R805" s="1026"/>
      <c r="S805" s="1026"/>
      <c r="T805" s="1026"/>
      <c r="U805" s="1026"/>
      <c r="V805" s="1026"/>
      <c r="W805" s="1026"/>
      <c r="X805" s="1026"/>
      <c r="Y805" s="1026"/>
      <c r="Z805" s="1026"/>
    </row>
    <row r="806" spans="1:26">
      <c r="A806" s="1026"/>
      <c r="B806" s="1026"/>
      <c r="C806" s="1026"/>
      <c r="D806" s="1026"/>
      <c r="E806" s="1026"/>
      <c r="F806" s="1026"/>
      <c r="G806" s="1026"/>
      <c r="H806" s="1026"/>
      <c r="I806" s="1026"/>
      <c r="J806" s="1026"/>
      <c r="K806" s="1026"/>
      <c r="L806" s="1026"/>
      <c r="M806" s="1026"/>
      <c r="N806" s="1026"/>
      <c r="O806" s="1026"/>
      <c r="P806" s="1026"/>
      <c r="Q806" s="1026"/>
      <c r="R806" s="1026"/>
      <c r="S806" s="1026"/>
      <c r="T806" s="1026"/>
      <c r="U806" s="1026"/>
      <c r="V806" s="1026"/>
      <c r="W806" s="1026"/>
      <c r="X806" s="1026"/>
      <c r="Y806" s="1026"/>
      <c r="Z806" s="1026"/>
    </row>
    <row r="807" spans="1:26">
      <c r="A807" s="1026"/>
      <c r="B807" s="1026"/>
      <c r="C807" s="1026"/>
      <c r="D807" s="1026"/>
      <c r="E807" s="1026"/>
      <c r="F807" s="1026"/>
      <c r="G807" s="1026"/>
      <c r="H807" s="1026"/>
      <c r="I807" s="1026"/>
      <c r="J807" s="1026"/>
      <c r="K807" s="1026"/>
      <c r="L807" s="1026"/>
      <c r="M807" s="1026"/>
      <c r="N807" s="1026"/>
      <c r="O807" s="1026"/>
      <c r="P807" s="1026"/>
      <c r="Q807" s="1026"/>
      <c r="R807" s="1026"/>
      <c r="S807" s="1026"/>
      <c r="T807" s="1026"/>
      <c r="U807" s="1026"/>
      <c r="V807" s="1026"/>
      <c r="W807" s="1026"/>
      <c r="X807" s="1026"/>
      <c r="Y807" s="1026"/>
      <c r="Z807" s="1026"/>
    </row>
    <row r="808" spans="1:26">
      <c r="A808" s="1026"/>
      <c r="B808" s="1026"/>
      <c r="C808" s="1026"/>
      <c r="D808" s="1026"/>
      <c r="E808" s="1026"/>
      <c r="F808" s="1026"/>
      <c r="G808" s="1026"/>
      <c r="H808" s="1026"/>
      <c r="I808" s="1026"/>
      <c r="J808" s="1026"/>
      <c r="K808" s="1026"/>
      <c r="L808" s="1026"/>
      <c r="M808" s="1026"/>
      <c r="N808" s="1026"/>
      <c r="O808" s="1026"/>
      <c r="P808" s="1026"/>
      <c r="Q808" s="1026"/>
      <c r="R808" s="1026"/>
      <c r="S808" s="1026"/>
      <c r="T808" s="1026"/>
      <c r="U808" s="1026"/>
      <c r="V808" s="1026"/>
      <c r="W808" s="1026"/>
      <c r="X808" s="1026"/>
      <c r="Y808" s="1026"/>
      <c r="Z808" s="1026"/>
    </row>
    <row r="809" spans="1:26">
      <c r="A809" s="1026"/>
      <c r="B809" s="1026"/>
      <c r="C809" s="1026"/>
      <c r="D809" s="1026"/>
      <c r="E809" s="1026"/>
      <c r="F809" s="1026"/>
      <c r="G809" s="1026"/>
      <c r="H809" s="1026"/>
      <c r="I809" s="1026"/>
      <c r="J809" s="1026"/>
      <c r="K809" s="1026"/>
      <c r="L809" s="1026"/>
      <c r="M809" s="1026"/>
      <c r="N809" s="1026"/>
      <c r="O809" s="1026"/>
      <c r="P809" s="1026"/>
      <c r="Q809" s="1026"/>
      <c r="R809" s="1026"/>
      <c r="S809" s="1026"/>
      <c r="T809" s="1026"/>
      <c r="U809" s="1026"/>
      <c r="V809" s="1026"/>
      <c r="W809" s="1026"/>
      <c r="X809" s="1026"/>
      <c r="Y809" s="1026"/>
      <c r="Z809" s="1026"/>
    </row>
    <row r="810" spans="1:26">
      <c r="A810" s="1026"/>
      <c r="B810" s="1026"/>
      <c r="C810" s="1026"/>
      <c r="D810" s="1026"/>
      <c r="E810" s="1026"/>
      <c r="F810" s="1026"/>
      <c r="G810" s="1026"/>
      <c r="H810" s="1026"/>
      <c r="I810" s="1026"/>
      <c r="J810" s="1026"/>
      <c r="K810" s="1026"/>
      <c r="L810" s="1026"/>
      <c r="M810" s="1026"/>
      <c r="N810" s="1026"/>
      <c r="O810" s="1026"/>
      <c r="P810" s="1026"/>
      <c r="Q810" s="1026"/>
      <c r="R810" s="1026"/>
      <c r="S810" s="1026"/>
      <c r="T810" s="1026"/>
      <c r="U810" s="1026"/>
      <c r="V810" s="1026"/>
      <c r="W810" s="1026"/>
      <c r="X810" s="1026"/>
      <c r="Y810" s="1026"/>
      <c r="Z810" s="1026"/>
    </row>
    <row r="811" spans="1:26">
      <c r="A811" s="1026"/>
      <c r="B811" s="1026"/>
      <c r="C811" s="1026"/>
      <c r="D811" s="1026"/>
      <c r="E811" s="1026"/>
      <c r="F811" s="1026"/>
      <c r="G811" s="1026"/>
      <c r="H811" s="1026"/>
      <c r="I811" s="1026"/>
      <c r="J811" s="1026"/>
      <c r="K811" s="1026"/>
      <c r="L811" s="1026"/>
      <c r="M811" s="1026"/>
      <c r="N811" s="1026"/>
      <c r="O811" s="1026"/>
      <c r="P811" s="1026"/>
      <c r="Q811" s="1026"/>
      <c r="R811" s="1026"/>
      <c r="S811" s="1026"/>
      <c r="T811" s="1026"/>
      <c r="U811" s="1026"/>
      <c r="V811" s="1026"/>
      <c r="W811" s="1026"/>
      <c r="X811" s="1026"/>
      <c r="Y811" s="1026"/>
      <c r="Z811" s="1026"/>
    </row>
    <row r="812" spans="1:26">
      <c r="A812" s="1026"/>
      <c r="B812" s="1026"/>
      <c r="C812" s="1026"/>
      <c r="D812" s="1026"/>
      <c r="E812" s="1026"/>
      <c r="F812" s="1026"/>
      <c r="G812" s="1026"/>
      <c r="H812" s="1026"/>
      <c r="I812" s="1026"/>
      <c r="J812" s="1026"/>
      <c r="K812" s="1026"/>
      <c r="L812" s="1026"/>
      <c r="M812" s="1026"/>
      <c r="N812" s="1026"/>
      <c r="O812" s="1026"/>
      <c r="P812" s="1026"/>
      <c r="Q812" s="1026"/>
      <c r="R812" s="1026"/>
      <c r="S812" s="1026"/>
      <c r="T812" s="1026"/>
      <c r="U812" s="1026"/>
      <c r="V812" s="1026"/>
      <c r="W812" s="1026"/>
      <c r="X812" s="1026"/>
      <c r="Y812" s="1026"/>
      <c r="Z812" s="1026"/>
    </row>
    <row r="813" spans="1:26">
      <c r="A813" s="1026"/>
      <c r="B813" s="1026"/>
      <c r="C813" s="1026"/>
      <c r="D813" s="1026"/>
      <c r="E813" s="1026"/>
      <c r="F813" s="1026"/>
      <c r="G813" s="1026"/>
      <c r="H813" s="1026"/>
      <c r="I813" s="1026"/>
      <c r="J813" s="1026"/>
      <c r="K813" s="1026"/>
      <c r="L813" s="1026"/>
      <c r="M813" s="1026"/>
      <c r="N813" s="1026"/>
      <c r="O813" s="1026"/>
      <c r="P813" s="1026"/>
      <c r="Q813" s="1026"/>
      <c r="R813" s="1026"/>
      <c r="S813" s="1026"/>
      <c r="T813" s="1026"/>
      <c r="U813" s="1026"/>
      <c r="V813" s="1026"/>
      <c r="W813" s="1026"/>
      <c r="X813" s="1026"/>
      <c r="Y813" s="1026"/>
      <c r="Z813" s="1026"/>
    </row>
    <row r="814" spans="1:26">
      <c r="A814" s="1026"/>
      <c r="B814" s="1026"/>
      <c r="C814" s="1026"/>
      <c r="D814" s="1026"/>
      <c r="E814" s="1026"/>
      <c r="F814" s="1026"/>
      <c r="G814" s="1026"/>
      <c r="H814" s="1026"/>
      <c r="I814" s="1026"/>
      <c r="J814" s="1026"/>
      <c r="K814" s="1026"/>
      <c r="L814" s="1026"/>
      <c r="M814" s="1026"/>
      <c r="N814" s="1026"/>
      <c r="O814" s="1026"/>
      <c r="P814" s="1026"/>
      <c r="Q814" s="1026"/>
      <c r="R814" s="1026"/>
      <c r="S814" s="1026"/>
      <c r="T814" s="1026"/>
      <c r="U814" s="1026"/>
      <c r="V814" s="1026"/>
      <c r="W814" s="1026"/>
      <c r="X814" s="1026"/>
      <c r="Y814" s="1026"/>
      <c r="Z814" s="1026"/>
    </row>
    <row r="815" spans="1:26">
      <c r="A815" s="1026"/>
      <c r="B815" s="1026"/>
      <c r="C815" s="1026"/>
      <c r="D815" s="1026"/>
      <c r="E815" s="1026"/>
      <c r="F815" s="1026"/>
      <c r="G815" s="1026"/>
      <c r="H815" s="1026"/>
      <c r="I815" s="1026"/>
      <c r="J815" s="1026"/>
      <c r="K815" s="1026"/>
      <c r="L815" s="1026"/>
      <c r="M815" s="1026"/>
      <c r="N815" s="1026"/>
      <c r="O815" s="1026"/>
      <c r="P815" s="1026"/>
      <c r="Q815" s="1026"/>
      <c r="R815" s="1026"/>
      <c r="S815" s="1026"/>
      <c r="T815" s="1026"/>
      <c r="U815" s="1026"/>
      <c r="V815" s="1026"/>
      <c r="W815" s="1026"/>
      <c r="X815" s="1026"/>
      <c r="Y815" s="1026"/>
      <c r="Z815" s="1026"/>
    </row>
    <row r="816" spans="1:26">
      <c r="A816" s="1026"/>
      <c r="B816" s="1026"/>
      <c r="C816" s="1026"/>
      <c r="D816" s="1026"/>
      <c r="E816" s="1026"/>
      <c r="F816" s="1026"/>
      <c r="G816" s="1026"/>
      <c r="H816" s="1026"/>
      <c r="I816" s="1026"/>
      <c r="J816" s="1026"/>
      <c r="K816" s="1026"/>
      <c r="L816" s="1026"/>
      <c r="M816" s="1026"/>
      <c r="N816" s="1026"/>
      <c r="O816" s="1026"/>
      <c r="P816" s="1026"/>
      <c r="Q816" s="1026"/>
      <c r="R816" s="1026"/>
      <c r="S816" s="1026"/>
      <c r="T816" s="1026"/>
      <c r="U816" s="1026"/>
      <c r="V816" s="1026"/>
      <c r="W816" s="1026"/>
      <c r="X816" s="1026"/>
      <c r="Y816" s="1026"/>
      <c r="Z816" s="1026"/>
    </row>
    <row r="817" spans="1:26">
      <c r="A817" s="1026"/>
      <c r="B817" s="1026"/>
      <c r="C817" s="1026"/>
      <c r="D817" s="1026"/>
      <c r="E817" s="1026"/>
      <c r="F817" s="1026"/>
      <c r="G817" s="1026"/>
      <c r="H817" s="1026"/>
      <c r="I817" s="1026"/>
      <c r="J817" s="1026"/>
      <c r="K817" s="1026"/>
      <c r="L817" s="1026"/>
      <c r="M817" s="1026"/>
      <c r="N817" s="1026"/>
      <c r="O817" s="1026"/>
      <c r="P817" s="1026"/>
      <c r="Q817" s="1026"/>
      <c r="R817" s="1026"/>
      <c r="S817" s="1026"/>
      <c r="T817" s="1026"/>
      <c r="U817" s="1026"/>
      <c r="V817" s="1026"/>
      <c r="W817" s="1026"/>
      <c r="X817" s="1026"/>
      <c r="Y817" s="1026"/>
      <c r="Z817" s="1026"/>
    </row>
    <row r="818" spans="1:26">
      <c r="A818" s="1026"/>
      <c r="B818" s="1026"/>
      <c r="C818" s="1026"/>
      <c r="D818" s="1026"/>
      <c r="E818" s="1026"/>
      <c r="F818" s="1026"/>
      <c r="G818" s="1026"/>
      <c r="H818" s="1026"/>
      <c r="I818" s="1026"/>
      <c r="J818" s="1026"/>
      <c r="K818" s="1026"/>
      <c r="L818" s="1026"/>
      <c r="M818" s="1026"/>
      <c r="N818" s="1026"/>
      <c r="O818" s="1026"/>
      <c r="P818" s="1026"/>
      <c r="Q818" s="1026"/>
      <c r="R818" s="1026"/>
      <c r="S818" s="1026"/>
      <c r="T818" s="1026"/>
      <c r="U818" s="1026"/>
      <c r="V818" s="1026"/>
      <c r="W818" s="1026"/>
      <c r="X818" s="1026"/>
      <c r="Y818" s="1026"/>
      <c r="Z818" s="1026"/>
    </row>
    <row r="819" spans="1:26">
      <c r="A819" s="1026"/>
      <c r="B819" s="1026"/>
      <c r="C819" s="1026"/>
      <c r="D819" s="1026"/>
      <c r="E819" s="1026"/>
      <c r="F819" s="1026"/>
      <c r="G819" s="1026"/>
      <c r="H819" s="1026"/>
      <c r="I819" s="1026"/>
      <c r="J819" s="1026"/>
      <c r="K819" s="1026"/>
      <c r="L819" s="1026"/>
      <c r="M819" s="1026"/>
      <c r="N819" s="1026"/>
      <c r="O819" s="1026"/>
      <c r="P819" s="1026"/>
      <c r="Q819" s="1026"/>
      <c r="R819" s="1026"/>
      <c r="S819" s="1026"/>
      <c r="T819" s="1026"/>
      <c r="U819" s="1026"/>
      <c r="V819" s="1026"/>
      <c r="W819" s="1026"/>
      <c r="X819" s="1026"/>
      <c r="Y819" s="1026"/>
      <c r="Z819" s="1026"/>
    </row>
    <row r="820" spans="1:26">
      <c r="A820" s="1026"/>
      <c r="B820" s="1026"/>
      <c r="C820" s="1026"/>
      <c r="D820" s="1026"/>
      <c r="E820" s="1026"/>
      <c r="F820" s="1026"/>
      <c r="G820" s="1026"/>
      <c r="H820" s="1026"/>
      <c r="I820" s="1026"/>
      <c r="J820" s="1026"/>
      <c r="K820" s="1026"/>
      <c r="L820" s="1026"/>
      <c r="M820" s="1026"/>
      <c r="N820" s="1026"/>
      <c r="O820" s="1026"/>
      <c r="P820" s="1026"/>
      <c r="Q820" s="1026"/>
      <c r="R820" s="1026"/>
      <c r="S820" s="1026"/>
      <c r="T820" s="1026"/>
      <c r="U820" s="1026"/>
      <c r="V820" s="1026"/>
      <c r="W820" s="1026"/>
      <c r="X820" s="1026"/>
      <c r="Y820" s="1026"/>
      <c r="Z820" s="1026"/>
    </row>
    <row r="821" spans="1:26">
      <c r="A821" s="1026"/>
      <c r="B821" s="1026"/>
      <c r="C821" s="1026"/>
      <c r="D821" s="1026"/>
      <c r="E821" s="1026"/>
      <c r="F821" s="1026"/>
      <c r="G821" s="1026"/>
      <c r="H821" s="1026"/>
      <c r="I821" s="1026"/>
      <c r="J821" s="1026"/>
      <c r="K821" s="1026"/>
      <c r="L821" s="1026"/>
      <c r="M821" s="1026"/>
      <c r="N821" s="1026"/>
      <c r="O821" s="1026"/>
      <c r="P821" s="1026"/>
      <c r="Q821" s="1026"/>
      <c r="R821" s="1026"/>
      <c r="S821" s="1026"/>
      <c r="T821" s="1026"/>
      <c r="U821" s="1026"/>
      <c r="V821" s="1026"/>
      <c r="W821" s="1026"/>
      <c r="X821" s="1026"/>
      <c r="Y821" s="1026"/>
      <c r="Z821" s="1026"/>
    </row>
    <row r="822" spans="1:26">
      <c r="A822" s="1026"/>
      <c r="B822" s="1026"/>
      <c r="C822" s="1026"/>
      <c r="D822" s="1026"/>
      <c r="E822" s="1026"/>
      <c r="F822" s="1026"/>
      <c r="G822" s="1026"/>
      <c r="H822" s="1026"/>
      <c r="I822" s="1026"/>
      <c r="J822" s="1026"/>
      <c r="K822" s="1026"/>
      <c r="L822" s="1026"/>
      <c r="M822" s="1026"/>
      <c r="N822" s="1026"/>
      <c r="O822" s="1026"/>
      <c r="P822" s="1026"/>
      <c r="Q822" s="1026"/>
      <c r="R822" s="1026"/>
      <c r="S822" s="1026"/>
      <c r="T822" s="1026"/>
      <c r="U822" s="1026"/>
      <c r="V822" s="1026"/>
      <c r="W822" s="1026"/>
      <c r="X822" s="1026"/>
      <c r="Y822" s="1026"/>
      <c r="Z822" s="1026"/>
    </row>
    <row r="823" spans="1:26">
      <c r="A823" s="1026"/>
      <c r="B823" s="1026"/>
      <c r="C823" s="1026"/>
      <c r="D823" s="1026"/>
      <c r="E823" s="1026"/>
      <c r="F823" s="1026"/>
      <c r="G823" s="1026"/>
      <c r="H823" s="1026"/>
      <c r="I823" s="1026"/>
      <c r="J823" s="1026"/>
      <c r="K823" s="1026"/>
      <c r="L823" s="1026"/>
      <c r="M823" s="1026"/>
      <c r="N823" s="1026"/>
      <c r="O823" s="1026"/>
      <c r="P823" s="1026"/>
      <c r="Q823" s="1026"/>
      <c r="R823" s="1026"/>
      <c r="S823" s="1026"/>
      <c r="T823" s="1026"/>
      <c r="U823" s="1026"/>
      <c r="V823" s="1026"/>
      <c r="W823" s="1026"/>
      <c r="X823" s="1026"/>
      <c r="Y823" s="1026"/>
      <c r="Z823" s="1026"/>
    </row>
    <row r="824" spans="1:26">
      <c r="A824" s="1026"/>
      <c r="B824" s="1026"/>
      <c r="C824" s="1026"/>
      <c r="D824" s="1026"/>
      <c r="E824" s="1026"/>
      <c r="F824" s="1026"/>
      <c r="G824" s="1026"/>
      <c r="H824" s="1026"/>
      <c r="I824" s="1026"/>
      <c r="J824" s="1026"/>
      <c r="K824" s="1026"/>
      <c r="L824" s="1026"/>
      <c r="M824" s="1026"/>
      <c r="N824" s="1026"/>
      <c r="O824" s="1026"/>
      <c r="P824" s="1026"/>
      <c r="Q824" s="1026"/>
      <c r="R824" s="1026"/>
      <c r="S824" s="1026"/>
      <c r="T824" s="1026"/>
      <c r="U824" s="1026"/>
      <c r="V824" s="1026"/>
      <c r="W824" s="1026"/>
      <c r="X824" s="1026"/>
      <c r="Y824" s="1026"/>
      <c r="Z824" s="1026"/>
    </row>
    <row r="825" spans="1:26">
      <c r="A825" s="1026"/>
      <c r="B825" s="1026"/>
      <c r="C825" s="1026"/>
      <c r="D825" s="1026"/>
      <c r="E825" s="1026"/>
      <c r="F825" s="1026"/>
      <c r="G825" s="1026"/>
      <c r="H825" s="1026"/>
      <c r="I825" s="1026"/>
      <c r="J825" s="1026"/>
      <c r="K825" s="1026"/>
      <c r="L825" s="1026"/>
      <c r="M825" s="1026"/>
      <c r="N825" s="1026"/>
      <c r="O825" s="1026"/>
      <c r="P825" s="1026"/>
      <c r="Q825" s="1026"/>
      <c r="R825" s="1026"/>
      <c r="S825" s="1026"/>
      <c r="T825" s="1026"/>
      <c r="U825" s="1026"/>
      <c r="V825" s="1026"/>
      <c r="W825" s="1026"/>
      <c r="X825" s="1026"/>
      <c r="Y825" s="1026"/>
      <c r="Z825" s="1026"/>
    </row>
    <row r="826" spans="1:26">
      <c r="A826" s="1026"/>
      <c r="B826" s="1026"/>
      <c r="C826" s="1026"/>
      <c r="D826" s="1026"/>
      <c r="E826" s="1026"/>
      <c r="F826" s="1026"/>
      <c r="G826" s="1026"/>
      <c r="H826" s="1026"/>
      <c r="I826" s="1026"/>
      <c r="J826" s="1026"/>
      <c r="K826" s="1026"/>
      <c r="L826" s="1026"/>
      <c r="M826" s="1026"/>
      <c r="N826" s="1026"/>
      <c r="O826" s="1026"/>
      <c r="P826" s="1026"/>
      <c r="Q826" s="1026"/>
      <c r="R826" s="1026"/>
      <c r="S826" s="1026"/>
      <c r="T826" s="1026"/>
      <c r="U826" s="1026"/>
      <c r="V826" s="1026"/>
      <c r="W826" s="1026"/>
      <c r="X826" s="1026"/>
      <c r="Y826" s="1026"/>
      <c r="Z826" s="1026"/>
    </row>
    <row r="827" spans="1:26">
      <c r="A827" s="1026"/>
      <c r="B827" s="1026"/>
      <c r="C827" s="1026"/>
      <c r="D827" s="1026"/>
      <c r="E827" s="1026"/>
      <c r="F827" s="1026"/>
      <c r="G827" s="1026"/>
      <c r="H827" s="1026"/>
      <c r="I827" s="1026"/>
      <c r="J827" s="1026"/>
      <c r="K827" s="1026"/>
      <c r="L827" s="1026"/>
      <c r="M827" s="1026"/>
      <c r="N827" s="1026"/>
      <c r="O827" s="1026"/>
      <c r="P827" s="1026"/>
      <c r="Q827" s="1026"/>
      <c r="R827" s="1026"/>
      <c r="S827" s="1026"/>
      <c r="T827" s="1026"/>
      <c r="U827" s="1026"/>
      <c r="V827" s="1026"/>
      <c r="W827" s="1026"/>
      <c r="X827" s="1026"/>
      <c r="Y827" s="1026"/>
      <c r="Z827" s="1026"/>
    </row>
    <row r="828" spans="1:26">
      <c r="A828" s="1026"/>
      <c r="B828" s="1026"/>
      <c r="C828" s="1026"/>
      <c r="D828" s="1026"/>
      <c r="E828" s="1026"/>
      <c r="F828" s="1026"/>
      <c r="G828" s="1026"/>
      <c r="H828" s="1026"/>
      <c r="I828" s="1026"/>
      <c r="J828" s="1026"/>
      <c r="K828" s="1026"/>
      <c r="L828" s="1026"/>
      <c r="M828" s="1026"/>
      <c r="N828" s="1026"/>
      <c r="O828" s="1026"/>
      <c r="P828" s="1026"/>
      <c r="Q828" s="1026"/>
      <c r="R828" s="1026"/>
      <c r="S828" s="1026"/>
      <c r="T828" s="1026"/>
      <c r="U828" s="1026"/>
      <c r="V828" s="1026"/>
      <c r="W828" s="1026"/>
      <c r="X828" s="1026"/>
      <c r="Y828" s="1026"/>
      <c r="Z828" s="1026"/>
    </row>
    <row r="829" spans="1:26">
      <c r="A829" s="1026"/>
      <c r="B829" s="1026"/>
      <c r="C829" s="1026"/>
      <c r="D829" s="1026"/>
      <c r="E829" s="1026"/>
      <c r="F829" s="1026"/>
      <c r="G829" s="1026"/>
      <c r="H829" s="1026"/>
      <c r="I829" s="1026"/>
      <c r="J829" s="1026"/>
      <c r="K829" s="1026"/>
      <c r="L829" s="1026"/>
      <c r="M829" s="1026"/>
      <c r="N829" s="1026"/>
      <c r="O829" s="1026"/>
      <c r="P829" s="1026"/>
      <c r="Q829" s="1026"/>
      <c r="R829" s="1026"/>
      <c r="S829" s="1026"/>
      <c r="T829" s="1026"/>
      <c r="U829" s="1026"/>
      <c r="V829" s="1026"/>
      <c r="W829" s="1026"/>
      <c r="X829" s="1026"/>
      <c r="Y829" s="1026"/>
      <c r="Z829" s="1026"/>
    </row>
    <row r="830" spans="1:26">
      <c r="A830" s="1026"/>
      <c r="B830" s="1026"/>
      <c r="C830" s="1026"/>
      <c r="D830" s="1026"/>
      <c r="E830" s="1026"/>
      <c r="F830" s="1026"/>
      <c r="G830" s="1026"/>
      <c r="H830" s="1026"/>
      <c r="I830" s="1026"/>
      <c r="J830" s="1026"/>
      <c r="K830" s="1026"/>
      <c r="L830" s="1026"/>
      <c r="M830" s="1026"/>
      <c r="N830" s="1026"/>
      <c r="O830" s="1026"/>
      <c r="P830" s="1026"/>
      <c r="Q830" s="1026"/>
      <c r="R830" s="1026"/>
      <c r="S830" s="1026"/>
      <c r="T830" s="1026"/>
      <c r="U830" s="1026"/>
      <c r="V830" s="1026"/>
      <c r="W830" s="1026"/>
      <c r="X830" s="1026"/>
      <c r="Y830" s="1026"/>
      <c r="Z830" s="1026"/>
    </row>
    <row r="831" spans="1:26">
      <c r="A831" s="1026"/>
      <c r="B831" s="1026"/>
      <c r="C831" s="1026"/>
      <c r="D831" s="1026"/>
      <c r="E831" s="1026"/>
      <c r="F831" s="1026"/>
      <c r="G831" s="1026"/>
      <c r="H831" s="1026"/>
      <c r="I831" s="1026"/>
      <c r="J831" s="1026"/>
      <c r="K831" s="1026"/>
      <c r="L831" s="1026"/>
      <c r="M831" s="1026"/>
      <c r="N831" s="1026"/>
      <c r="O831" s="1026"/>
      <c r="P831" s="1026"/>
      <c r="Q831" s="1026"/>
      <c r="R831" s="1026"/>
      <c r="S831" s="1026"/>
      <c r="T831" s="1026"/>
      <c r="U831" s="1026"/>
      <c r="V831" s="1026"/>
      <c r="W831" s="1026"/>
      <c r="X831" s="1026"/>
      <c r="Y831" s="1026"/>
      <c r="Z831" s="1026"/>
    </row>
    <row r="832" spans="1:26">
      <c r="A832" s="1026"/>
      <c r="B832" s="1026"/>
      <c r="C832" s="1026"/>
      <c r="D832" s="1026"/>
      <c r="E832" s="1026"/>
      <c r="F832" s="1026"/>
      <c r="G832" s="1026"/>
      <c r="H832" s="1026"/>
      <c r="I832" s="1026"/>
      <c r="J832" s="1026"/>
      <c r="K832" s="1026"/>
      <c r="L832" s="1026"/>
      <c r="M832" s="1026"/>
      <c r="N832" s="1026"/>
      <c r="O832" s="1026"/>
      <c r="P832" s="1026"/>
      <c r="Q832" s="1026"/>
      <c r="R832" s="1026"/>
      <c r="S832" s="1026"/>
      <c r="T832" s="1026"/>
      <c r="U832" s="1026"/>
      <c r="V832" s="1026"/>
      <c r="W832" s="1026"/>
      <c r="X832" s="1026"/>
      <c r="Y832" s="1026"/>
      <c r="Z832" s="1026"/>
    </row>
    <row r="833" spans="1:26">
      <c r="A833" s="1026"/>
      <c r="B833" s="1026"/>
      <c r="C833" s="1026"/>
      <c r="D833" s="1026"/>
      <c r="E833" s="1026"/>
      <c r="F833" s="1026"/>
      <c r="G833" s="1026"/>
      <c r="H833" s="1026"/>
      <c r="I833" s="1026"/>
      <c r="J833" s="1026"/>
      <c r="K833" s="1026"/>
      <c r="L833" s="1026"/>
      <c r="M833" s="1026"/>
      <c r="N833" s="1026"/>
      <c r="O833" s="1026"/>
      <c r="P833" s="1026"/>
      <c r="Q833" s="1026"/>
      <c r="R833" s="1026"/>
      <c r="S833" s="1026"/>
      <c r="T833" s="1026"/>
      <c r="U833" s="1026"/>
      <c r="V833" s="1026"/>
      <c r="W833" s="1026"/>
      <c r="X833" s="1026"/>
      <c r="Y833" s="1026"/>
      <c r="Z833" s="1026"/>
    </row>
    <row r="834" spans="1:26">
      <c r="A834" s="1026"/>
      <c r="B834" s="1026"/>
      <c r="C834" s="1026"/>
      <c r="D834" s="1026"/>
      <c r="E834" s="1026"/>
      <c r="F834" s="1026"/>
      <c r="G834" s="1026"/>
      <c r="H834" s="1026"/>
      <c r="I834" s="1026"/>
      <c r="J834" s="1026"/>
      <c r="K834" s="1026"/>
      <c r="L834" s="1026"/>
      <c r="M834" s="1026"/>
      <c r="N834" s="1026"/>
      <c r="O834" s="1026"/>
      <c r="P834" s="1026"/>
      <c r="Q834" s="1026"/>
      <c r="R834" s="1026"/>
      <c r="S834" s="1026"/>
      <c r="T834" s="1026"/>
      <c r="U834" s="1026"/>
      <c r="V834" s="1026"/>
      <c r="W834" s="1026"/>
      <c r="X834" s="1026"/>
      <c r="Y834" s="1026"/>
      <c r="Z834" s="1026"/>
    </row>
    <row r="835" spans="1:26">
      <c r="A835" s="1026"/>
      <c r="B835" s="1026"/>
      <c r="C835" s="1026"/>
      <c r="D835" s="1026"/>
      <c r="E835" s="1026"/>
      <c r="F835" s="1026"/>
      <c r="G835" s="1026"/>
      <c r="H835" s="1026"/>
      <c r="I835" s="1026"/>
      <c r="J835" s="1026"/>
      <c r="K835" s="1026"/>
      <c r="L835" s="1026"/>
      <c r="M835" s="1026"/>
      <c r="N835" s="1026"/>
      <c r="O835" s="1026"/>
      <c r="P835" s="1026"/>
      <c r="Q835" s="1026"/>
      <c r="R835" s="1026"/>
      <c r="S835" s="1026"/>
      <c r="T835" s="1026"/>
      <c r="U835" s="1026"/>
      <c r="V835" s="1026"/>
      <c r="W835" s="1026"/>
      <c r="X835" s="1026"/>
      <c r="Y835" s="1026"/>
      <c r="Z835" s="1026"/>
    </row>
    <row r="836" spans="1:26">
      <c r="A836" s="1026"/>
      <c r="B836" s="1026"/>
      <c r="C836" s="1026"/>
      <c r="D836" s="1026"/>
      <c r="E836" s="1026"/>
      <c r="F836" s="1026"/>
      <c r="G836" s="1026"/>
      <c r="H836" s="1026"/>
      <c r="I836" s="1026"/>
      <c r="J836" s="1026"/>
      <c r="K836" s="1026"/>
      <c r="L836" s="1026"/>
      <c r="M836" s="1026"/>
      <c r="N836" s="1026"/>
      <c r="O836" s="1026"/>
      <c r="P836" s="1026"/>
      <c r="Q836" s="1026"/>
      <c r="R836" s="1026"/>
      <c r="S836" s="1026"/>
      <c r="T836" s="1026"/>
      <c r="U836" s="1026"/>
      <c r="V836" s="1026"/>
      <c r="W836" s="1026"/>
      <c r="X836" s="1026"/>
      <c r="Y836" s="1026"/>
      <c r="Z836" s="1026"/>
    </row>
    <row r="837" spans="1:26">
      <c r="A837" s="1026"/>
      <c r="B837" s="1026"/>
      <c r="C837" s="1026"/>
      <c r="D837" s="1026"/>
      <c r="E837" s="1026"/>
      <c r="F837" s="1026"/>
      <c r="G837" s="1026"/>
      <c r="H837" s="1026"/>
      <c r="I837" s="1026"/>
      <c r="J837" s="1026"/>
      <c r="K837" s="1026"/>
      <c r="L837" s="1026"/>
      <c r="M837" s="1026"/>
      <c r="N837" s="1026"/>
      <c r="O837" s="1026"/>
      <c r="P837" s="1026"/>
      <c r="Q837" s="1026"/>
      <c r="R837" s="1026"/>
      <c r="S837" s="1026"/>
      <c r="T837" s="1026"/>
      <c r="U837" s="1026"/>
      <c r="V837" s="1026"/>
      <c r="W837" s="1026"/>
      <c r="X837" s="1026"/>
      <c r="Y837" s="1026"/>
      <c r="Z837" s="1026"/>
    </row>
    <row r="838" spans="1:26">
      <c r="A838" s="1026"/>
      <c r="B838" s="1026"/>
      <c r="C838" s="1026"/>
      <c r="D838" s="1026"/>
      <c r="E838" s="1026"/>
      <c r="F838" s="1026"/>
      <c r="G838" s="1026"/>
      <c r="H838" s="1026"/>
      <c r="I838" s="1026"/>
      <c r="J838" s="1026"/>
      <c r="K838" s="1026"/>
      <c r="L838" s="1026"/>
      <c r="M838" s="1026"/>
      <c r="N838" s="1026"/>
      <c r="O838" s="1026"/>
      <c r="P838" s="1026"/>
      <c r="Q838" s="1026"/>
      <c r="R838" s="1026"/>
      <c r="S838" s="1026"/>
      <c r="T838" s="1026"/>
      <c r="U838" s="1026"/>
      <c r="V838" s="1026"/>
      <c r="W838" s="1026"/>
      <c r="X838" s="1026"/>
      <c r="Y838" s="1026"/>
      <c r="Z838" s="1026"/>
    </row>
    <row r="839" spans="1:26">
      <c r="A839" s="1026"/>
      <c r="B839" s="1026"/>
      <c r="C839" s="1026"/>
      <c r="D839" s="1026"/>
      <c r="E839" s="1026"/>
      <c r="F839" s="1026"/>
      <c r="G839" s="1026"/>
      <c r="H839" s="1026"/>
      <c r="I839" s="1026"/>
      <c r="J839" s="1026"/>
      <c r="K839" s="1026"/>
      <c r="L839" s="1026"/>
      <c r="M839" s="1026"/>
      <c r="N839" s="1026"/>
      <c r="O839" s="1026"/>
      <c r="P839" s="1026"/>
      <c r="Q839" s="1026"/>
      <c r="R839" s="1026"/>
      <c r="S839" s="1026"/>
      <c r="T839" s="1026"/>
      <c r="U839" s="1026"/>
      <c r="V839" s="1026"/>
      <c r="W839" s="1026"/>
      <c r="X839" s="1026"/>
      <c r="Y839" s="1026"/>
      <c r="Z839" s="1026"/>
    </row>
    <row r="840" spans="1:26">
      <c r="A840" s="1026"/>
      <c r="B840" s="1026"/>
      <c r="C840" s="1026"/>
      <c r="D840" s="1026"/>
      <c r="E840" s="1026"/>
      <c r="F840" s="1026"/>
      <c r="G840" s="1026"/>
      <c r="H840" s="1026"/>
      <c r="I840" s="1026"/>
      <c r="J840" s="1026"/>
      <c r="K840" s="1026"/>
      <c r="L840" s="1026"/>
      <c r="M840" s="1026"/>
      <c r="N840" s="1026"/>
      <c r="O840" s="1026"/>
      <c r="P840" s="1026"/>
      <c r="Q840" s="1026"/>
      <c r="R840" s="1026"/>
      <c r="S840" s="1026"/>
      <c r="T840" s="1026"/>
      <c r="U840" s="1026"/>
      <c r="V840" s="1026"/>
      <c r="W840" s="1026"/>
      <c r="X840" s="1026"/>
      <c r="Y840" s="1026"/>
      <c r="Z840" s="1026"/>
    </row>
    <row r="841" spans="1:26">
      <c r="A841" s="1026"/>
      <c r="B841" s="1026"/>
      <c r="C841" s="1026"/>
      <c r="D841" s="1026"/>
      <c r="E841" s="1026"/>
      <c r="F841" s="1026"/>
      <c r="G841" s="1026"/>
      <c r="H841" s="1026"/>
      <c r="I841" s="1026"/>
      <c r="J841" s="1026"/>
      <c r="K841" s="1026"/>
      <c r="L841" s="1026"/>
      <c r="M841" s="1026"/>
      <c r="N841" s="1026"/>
      <c r="O841" s="1026"/>
      <c r="P841" s="1026"/>
      <c r="Q841" s="1026"/>
      <c r="R841" s="1026"/>
      <c r="S841" s="1026"/>
      <c r="T841" s="1026"/>
      <c r="U841" s="1026"/>
      <c r="V841" s="1026"/>
      <c r="W841" s="1026"/>
      <c r="X841" s="1026"/>
      <c r="Y841" s="1026"/>
      <c r="Z841" s="1026"/>
    </row>
    <row r="842" spans="1:26">
      <c r="A842" s="1026"/>
      <c r="B842" s="1026"/>
      <c r="C842" s="1026"/>
      <c r="D842" s="1026"/>
      <c r="E842" s="1026"/>
      <c r="F842" s="1026"/>
      <c r="G842" s="1026"/>
      <c r="H842" s="1026"/>
      <c r="I842" s="1026"/>
      <c r="J842" s="1026"/>
      <c r="K842" s="1026"/>
      <c r="L842" s="1026"/>
      <c r="M842" s="1026"/>
      <c r="N842" s="1026"/>
      <c r="O842" s="1026"/>
      <c r="P842" s="1026"/>
      <c r="Q842" s="1026"/>
      <c r="R842" s="1026"/>
      <c r="S842" s="1026"/>
      <c r="T842" s="1026"/>
      <c r="U842" s="1026"/>
      <c r="V842" s="1026"/>
      <c r="W842" s="1026"/>
      <c r="X842" s="1026"/>
      <c r="Y842" s="1026"/>
      <c r="Z842" s="1026"/>
    </row>
    <row r="843" spans="1:26">
      <c r="A843" s="1026"/>
      <c r="B843" s="1026"/>
      <c r="C843" s="1026"/>
      <c r="D843" s="1026"/>
      <c r="E843" s="1026"/>
      <c r="F843" s="1026"/>
      <c r="G843" s="1026"/>
      <c r="H843" s="1026"/>
      <c r="I843" s="1026"/>
      <c r="J843" s="1026"/>
      <c r="K843" s="1026"/>
      <c r="L843" s="1026"/>
      <c r="M843" s="1026"/>
      <c r="N843" s="1026"/>
      <c r="O843" s="1026"/>
      <c r="P843" s="1026"/>
      <c r="Q843" s="1026"/>
      <c r="R843" s="1026"/>
      <c r="S843" s="1026"/>
      <c r="T843" s="1026"/>
      <c r="U843" s="1026"/>
      <c r="V843" s="1026"/>
      <c r="W843" s="1026"/>
      <c r="X843" s="1026"/>
      <c r="Y843" s="1026"/>
      <c r="Z843" s="1026"/>
    </row>
    <row r="844" spans="1:26">
      <c r="A844" s="1026"/>
      <c r="B844" s="1026"/>
      <c r="C844" s="1026"/>
      <c r="D844" s="1026"/>
      <c r="E844" s="1026"/>
      <c r="F844" s="1026"/>
      <c r="G844" s="1026"/>
      <c r="H844" s="1026"/>
      <c r="I844" s="1026"/>
      <c r="J844" s="1026"/>
      <c r="K844" s="1026"/>
      <c r="L844" s="1026"/>
      <c r="M844" s="1026"/>
      <c r="N844" s="1026"/>
      <c r="O844" s="1026"/>
      <c r="P844" s="1026"/>
      <c r="Q844" s="1026"/>
      <c r="R844" s="1026"/>
      <c r="S844" s="1026"/>
      <c r="T844" s="1026"/>
      <c r="U844" s="1026"/>
      <c r="V844" s="1026"/>
      <c r="W844" s="1026"/>
      <c r="X844" s="1026"/>
      <c r="Y844" s="1026"/>
      <c r="Z844" s="1026"/>
    </row>
    <row r="845" spans="1:26">
      <c r="A845" s="1026"/>
      <c r="B845" s="1026"/>
      <c r="C845" s="1026"/>
      <c r="D845" s="1026"/>
      <c r="E845" s="1026"/>
      <c r="F845" s="1026"/>
      <c r="G845" s="1026"/>
      <c r="H845" s="1026"/>
      <c r="I845" s="1026"/>
      <c r="J845" s="1026"/>
      <c r="K845" s="1026"/>
      <c r="L845" s="1026"/>
      <c r="M845" s="1026"/>
      <c r="N845" s="1026"/>
      <c r="O845" s="1026"/>
      <c r="P845" s="1026"/>
      <c r="Q845" s="1026"/>
      <c r="R845" s="1026"/>
      <c r="S845" s="1026"/>
      <c r="T845" s="1026"/>
      <c r="U845" s="1026"/>
      <c r="V845" s="1026"/>
      <c r="W845" s="1026"/>
      <c r="X845" s="1026"/>
      <c r="Y845" s="1026"/>
      <c r="Z845" s="1026"/>
    </row>
    <row r="846" spans="1:26">
      <c r="A846" s="1026"/>
      <c r="B846" s="1026"/>
      <c r="C846" s="1026"/>
      <c r="D846" s="1026"/>
      <c r="E846" s="1026"/>
      <c r="F846" s="1026"/>
      <c r="G846" s="1026"/>
      <c r="H846" s="1026"/>
      <c r="I846" s="1026"/>
      <c r="J846" s="1026"/>
      <c r="K846" s="1026"/>
      <c r="L846" s="1026"/>
      <c r="M846" s="1026"/>
      <c r="N846" s="1026"/>
      <c r="O846" s="1026"/>
      <c r="P846" s="1026"/>
      <c r="Q846" s="1026"/>
      <c r="R846" s="1026"/>
      <c r="S846" s="1026"/>
      <c r="T846" s="1026"/>
      <c r="U846" s="1026"/>
      <c r="V846" s="1026"/>
      <c r="W846" s="1026"/>
      <c r="X846" s="1026"/>
      <c r="Y846" s="1026"/>
      <c r="Z846" s="1026"/>
    </row>
    <row r="847" spans="1:26">
      <c r="A847" s="1026"/>
      <c r="B847" s="1026"/>
      <c r="C847" s="1026"/>
      <c r="D847" s="1026"/>
      <c r="E847" s="1026"/>
      <c r="F847" s="1026"/>
      <c r="G847" s="1026"/>
      <c r="H847" s="1026"/>
      <c r="I847" s="1026"/>
      <c r="J847" s="1026"/>
      <c r="K847" s="1026"/>
      <c r="L847" s="1026"/>
      <c r="M847" s="1026"/>
      <c r="N847" s="1026"/>
      <c r="O847" s="1026"/>
      <c r="P847" s="1026"/>
      <c r="Q847" s="1026"/>
      <c r="R847" s="1026"/>
      <c r="S847" s="1026"/>
      <c r="T847" s="1026"/>
      <c r="U847" s="1026"/>
      <c r="V847" s="1026"/>
      <c r="W847" s="1026"/>
      <c r="X847" s="1026"/>
      <c r="Y847" s="1026"/>
      <c r="Z847" s="1026"/>
    </row>
    <row r="848" spans="1:26">
      <c r="A848" s="1026"/>
      <c r="B848" s="1026"/>
      <c r="C848" s="1026"/>
      <c r="D848" s="1026"/>
      <c r="E848" s="1026"/>
      <c r="F848" s="1026"/>
      <c r="G848" s="1026"/>
      <c r="H848" s="1026"/>
      <c r="I848" s="1026"/>
      <c r="J848" s="1026"/>
      <c r="K848" s="1026"/>
      <c r="L848" s="1026"/>
      <c r="M848" s="1026"/>
      <c r="N848" s="1026"/>
      <c r="O848" s="1026"/>
      <c r="P848" s="1026"/>
      <c r="Q848" s="1026"/>
      <c r="R848" s="1026"/>
      <c r="S848" s="1026"/>
      <c r="T848" s="1026"/>
      <c r="U848" s="1026"/>
      <c r="V848" s="1026"/>
      <c r="W848" s="1026"/>
      <c r="X848" s="1026"/>
      <c r="Y848" s="1026"/>
      <c r="Z848" s="1026"/>
    </row>
    <row r="849" spans="1:26">
      <c r="A849" s="1026"/>
      <c r="B849" s="1026"/>
      <c r="C849" s="1026"/>
      <c r="D849" s="1026"/>
      <c r="E849" s="1026"/>
      <c r="F849" s="1026"/>
      <c r="G849" s="1026"/>
      <c r="H849" s="1026"/>
      <c r="I849" s="1026"/>
      <c r="J849" s="1026"/>
      <c r="K849" s="1026"/>
      <c r="L849" s="1026"/>
      <c r="M849" s="1026"/>
      <c r="N849" s="1026"/>
      <c r="O849" s="1026"/>
      <c r="P849" s="1026"/>
      <c r="Q849" s="1026"/>
      <c r="R849" s="1026"/>
      <c r="S849" s="1026"/>
      <c r="T849" s="1026"/>
      <c r="U849" s="1026"/>
      <c r="V849" s="1026"/>
      <c r="W849" s="1026"/>
      <c r="X849" s="1026"/>
      <c r="Y849" s="1026"/>
      <c r="Z849" s="1026"/>
    </row>
    <row r="850" spans="1:26">
      <c r="A850" s="1026"/>
      <c r="B850" s="1026"/>
      <c r="C850" s="1026"/>
      <c r="D850" s="1026"/>
      <c r="E850" s="1026"/>
      <c r="F850" s="1026"/>
      <c r="G850" s="1026"/>
      <c r="H850" s="1026"/>
      <c r="I850" s="1026"/>
      <c r="J850" s="1026"/>
      <c r="K850" s="1026"/>
      <c r="L850" s="1026"/>
      <c r="M850" s="1026"/>
      <c r="N850" s="1026"/>
      <c r="O850" s="1026"/>
      <c r="P850" s="1026"/>
      <c r="Q850" s="1026"/>
      <c r="R850" s="1026"/>
      <c r="S850" s="1026"/>
      <c r="T850" s="1026"/>
      <c r="U850" s="1026"/>
      <c r="V850" s="1026"/>
      <c r="W850" s="1026"/>
      <c r="X850" s="1026"/>
      <c r="Y850" s="1026"/>
      <c r="Z850" s="1026"/>
    </row>
    <row r="851" spans="1:26">
      <c r="A851" s="1026"/>
      <c r="B851" s="1026"/>
      <c r="C851" s="1026"/>
      <c r="D851" s="1026"/>
      <c r="E851" s="1026"/>
      <c r="F851" s="1026"/>
      <c r="G851" s="1026"/>
      <c r="H851" s="1026"/>
      <c r="I851" s="1026"/>
      <c r="J851" s="1026"/>
      <c r="K851" s="1026"/>
      <c r="L851" s="1026"/>
      <c r="M851" s="1026"/>
      <c r="N851" s="1026"/>
      <c r="O851" s="1026"/>
      <c r="P851" s="1026"/>
      <c r="Q851" s="1026"/>
      <c r="R851" s="1026"/>
      <c r="S851" s="1026"/>
      <c r="T851" s="1026"/>
      <c r="U851" s="1026"/>
      <c r="V851" s="1026"/>
      <c r="W851" s="1026"/>
      <c r="X851" s="1026"/>
      <c r="Y851" s="1026"/>
      <c r="Z851" s="1026"/>
    </row>
    <row r="852" spans="1:26">
      <c r="A852" s="1026"/>
      <c r="B852" s="1026"/>
      <c r="C852" s="1026"/>
      <c r="D852" s="1026"/>
      <c r="E852" s="1026"/>
      <c r="F852" s="1026"/>
      <c r="G852" s="1026"/>
      <c r="H852" s="1026"/>
      <c r="I852" s="1026"/>
      <c r="J852" s="1026"/>
      <c r="K852" s="1026"/>
      <c r="L852" s="1026"/>
      <c r="M852" s="1026"/>
      <c r="N852" s="1026"/>
      <c r="O852" s="1026"/>
      <c r="P852" s="1026"/>
      <c r="Q852" s="1026"/>
      <c r="R852" s="1026"/>
      <c r="S852" s="1026"/>
      <c r="T852" s="1026"/>
      <c r="U852" s="1026"/>
      <c r="V852" s="1026"/>
      <c r="W852" s="1026"/>
      <c r="X852" s="1026"/>
      <c r="Y852" s="1026"/>
      <c r="Z852" s="1026"/>
    </row>
    <row r="853" spans="1:26">
      <c r="A853" s="1026"/>
      <c r="B853" s="1026"/>
      <c r="C853" s="1026"/>
      <c r="D853" s="1026"/>
      <c r="E853" s="1026"/>
      <c r="F853" s="1026"/>
      <c r="G853" s="1026"/>
      <c r="H853" s="1026"/>
      <c r="I853" s="1026"/>
      <c r="J853" s="1026"/>
      <c r="K853" s="1026"/>
      <c r="L853" s="1026"/>
      <c r="M853" s="1026"/>
      <c r="N853" s="1026"/>
      <c r="O853" s="1026"/>
      <c r="P853" s="1026"/>
      <c r="Q853" s="1026"/>
      <c r="R853" s="1026"/>
      <c r="S853" s="1026"/>
      <c r="T853" s="1026"/>
      <c r="U853" s="1026"/>
      <c r="V853" s="1026"/>
      <c r="W853" s="1026"/>
      <c r="X853" s="1026"/>
      <c r="Y853" s="1026"/>
      <c r="Z853" s="1026"/>
    </row>
    <row r="854" spans="1:26">
      <c r="A854" s="1026"/>
      <c r="B854" s="1026"/>
      <c r="C854" s="1026"/>
      <c r="D854" s="1026"/>
      <c r="E854" s="1026"/>
      <c r="F854" s="1026"/>
      <c r="G854" s="1026"/>
      <c r="H854" s="1026"/>
      <c r="I854" s="1026"/>
      <c r="J854" s="1026"/>
      <c r="K854" s="1026"/>
      <c r="L854" s="1026"/>
      <c r="M854" s="1026"/>
      <c r="N854" s="1026"/>
      <c r="O854" s="1026"/>
      <c r="P854" s="1026"/>
      <c r="Q854" s="1026"/>
      <c r="R854" s="1026"/>
      <c r="S854" s="1026"/>
      <c r="T854" s="1026"/>
      <c r="U854" s="1026"/>
      <c r="V854" s="1026"/>
      <c r="W854" s="1026"/>
      <c r="X854" s="1026"/>
      <c r="Y854" s="1026"/>
      <c r="Z854" s="1026"/>
    </row>
    <row r="855" spans="1:26">
      <c r="A855" s="1026"/>
      <c r="B855" s="1026"/>
      <c r="C855" s="1026"/>
      <c r="D855" s="1026"/>
      <c r="E855" s="1026"/>
      <c r="F855" s="1026"/>
      <c r="G855" s="1026"/>
      <c r="H855" s="1026"/>
      <c r="I855" s="1026"/>
      <c r="J855" s="1026"/>
      <c r="K855" s="1026"/>
      <c r="L855" s="1026"/>
      <c r="M855" s="1026"/>
      <c r="N855" s="1026"/>
      <c r="O855" s="1026"/>
      <c r="P855" s="1026"/>
      <c r="Q855" s="1026"/>
      <c r="R855" s="1026"/>
      <c r="S855" s="1026"/>
      <c r="T855" s="1026"/>
      <c r="U855" s="1026"/>
      <c r="V855" s="1026"/>
      <c r="W855" s="1026"/>
      <c r="X855" s="1026"/>
      <c r="Y855" s="1026"/>
      <c r="Z855" s="1026"/>
    </row>
    <row r="856" spans="1:26">
      <c r="A856" s="1026"/>
      <c r="B856" s="1026"/>
      <c r="C856" s="1026"/>
      <c r="D856" s="1026"/>
      <c r="E856" s="1026"/>
      <c r="F856" s="1026"/>
      <c r="G856" s="1026"/>
      <c r="H856" s="1026"/>
      <c r="I856" s="1026"/>
      <c r="J856" s="1026"/>
      <c r="K856" s="1026"/>
      <c r="L856" s="1026"/>
      <c r="M856" s="1026"/>
      <c r="N856" s="1026"/>
      <c r="O856" s="1026"/>
      <c r="P856" s="1026"/>
      <c r="Q856" s="1026"/>
      <c r="R856" s="1026"/>
      <c r="S856" s="1026"/>
      <c r="T856" s="1026"/>
      <c r="U856" s="1026"/>
      <c r="V856" s="1026"/>
      <c r="W856" s="1026"/>
      <c r="X856" s="1026"/>
      <c r="Y856" s="1026"/>
      <c r="Z856" s="1026"/>
    </row>
    <row r="857" spans="1:26">
      <c r="A857" s="1026"/>
      <c r="B857" s="1026"/>
      <c r="C857" s="1026"/>
      <c r="D857" s="1026"/>
      <c r="E857" s="1026"/>
      <c r="F857" s="1026"/>
      <c r="G857" s="1026"/>
      <c r="H857" s="1026"/>
      <c r="I857" s="1026"/>
      <c r="J857" s="1026"/>
      <c r="K857" s="1026"/>
      <c r="L857" s="1026"/>
      <c r="M857" s="1026"/>
      <c r="N857" s="1026"/>
      <c r="O857" s="1026"/>
      <c r="P857" s="1026"/>
      <c r="Q857" s="1026"/>
      <c r="R857" s="1026"/>
      <c r="S857" s="1026"/>
      <c r="T857" s="1026"/>
      <c r="U857" s="1026"/>
      <c r="V857" s="1026"/>
      <c r="W857" s="1026"/>
      <c r="X857" s="1026"/>
      <c r="Y857" s="1026"/>
      <c r="Z857" s="1026"/>
    </row>
    <row r="858" spans="1:26">
      <c r="A858" s="1026"/>
      <c r="B858" s="1026"/>
      <c r="C858" s="1026"/>
      <c r="D858" s="1026"/>
      <c r="E858" s="1026"/>
      <c r="F858" s="1026"/>
      <c r="G858" s="1026"/>
      <c r="H858" s="1026"/>
      <c r="I858" s="1026"/>
      <c r="J858" s="1026"/>
      <c r="K858" s="1026"/>
      <c r="L858" s="1026"/>
      <c r="M858" s="1026"/>
      <c r="N858" s="1026"/>
      <c r="O858" s="1026"/>
      <c r="P858" s="1026"/>
      <c r="Q858" s="1026"/>
      <c r="R858" s="1026"/>
      <c r="S858" s="1026"/>
      <c r="T858" s="1026"/>
      <c r="U858" s="1026"/>
      <c r="V858" s="1026"/>
      <c r="W858" s="1026"/>
      <c r="X858" s="1026"/>
      <c r="Y858" s="1026"/>
      <c r="Z858" s="1026"/>
    </row>
    <row r="859" spans="1:26">
      <c r="A859" s="1026"/>
      <c r="B859" s="1026"/>
      <c r="C859" s="1026"/>
      <c r="D859" s="1026"/>
      <c r="E859" s="1026"/>
      <c r="F859" s="1026"/>
      <c r="G859" s="1026"/>
      <c r="H859" s="1026"/>
      <c r="I859" s="1026"/>
      <c r="J859" s="1026"/>
      <c r="K859" s="1026"/>
      <c r="L859" s="1026"/>
      <c r="M859" s="1026"/>
      <c r="N859" s="1026"/>
      <c r="O859" s="1026"/>
      <c r="P859" s="1026"/>
      <c r="Q859" s="1026"/>
      <c r="R859" s="1026"/>
      <c r="S859" s="1026"/>
      <c r="T859" s="1026"/>
      <c r="U859" s="1026"/>
      <c r="V859" s="1026"/>
      <c r="W859" s="1026"/>
      <c r="X859" s="1026"/>
      <c r="Y859" s="1026"/>
      <c r="Z859" s="1026"/>
    </row>
    <row r="860" spans="1:26">
      <c r="A860" s="1026"/>
      <c r="B860" s="1026"/>
      <c r="C860" s="1026"/>
      <c r="D860" s="1026"/>
      <c r="E860" s="1026"/>
      <c r="F860" s="1026"/>
      <c r="G860" s="1026"/>
      <c r="H860" s="1026"/>
      <c r="I860" s="1026"/>
      <c r="J860" s="1026"/>
      <c r="K860" s="1026"/>
      <c r="L860" s="1026"/>
      <c r="M860" s="1026"/>
      <c r="N860" s="1026"/>
      <c r="O860" s="1026"/>
      <c r="P860" s="1026"/>
      <c r="Q860" s="1026"/>
      <c r="R860" s="1026"/>
      <c r="S860" s="1026"/>
      <c r="T860" s="1026"/>
      <c r="U860" s="1026"/>
      <c r="V860" s="1026"/>
      <c r="W860" s="1026"/>
      <c r="X860" s="1026"/>
      <c r="Y860" s="1026"/>
      <c r="Z860" s="1026"/>
    </row>
    <row r="861" spans="1:26">
      <c r="A861" s="1026"/>
      <c r="B861" s="1026"/>
      <c r="C861" s="1026"/>
      <c r="D861" s="1026"/>
      <c r="E861" s="1026"/>
      <c r="F861" s="1026"/>
      <c r="G861" s="1026"/>
      <c r="H861" s="1026"/>
      <c r="I861" s="1026"/>
      <c r="J861" s="1026"/>
      <c r="K861" s="1026"/>
      <c r="L861" s="1026"/>
      <c r="M861" s="1026"/>
      <c r="N861" s="1026"/>
      <c r="O861" s="1026"/>
      <c r="P861" s="1026"/>
      <c r="Q861" s="1026"/>
      <c r="R861" s="1026"/>
      <c r="S861" s="1026"/>
      <c r="T861" s="1026"/>
      <c r="U861" s="1026"/>
      <c r="V861" s="1026"/>
      <c r="W861" s="1026"/>
      <c r="X861" s="1026"/>
      <c r="Y861" s="1026"/>
      <c r="Z861" s="1026"/>
    </row>
    <row r="862" spans="1:26">
      <c r="A862" s="1026"/>
      <c r="B862" s="1026"/>
      <c r="C862" s="1026"/>
      <c r="D862" s="1026"/>
      <c r="E862" s="1026"/>
      <c r="F862" s="1026"/>
      <c r="G862" s="1026"/>
      <c r="H862" s="1026"/>
      <c r="I862" s="1026"/>
      <c r="J862" s="1026"/>
      <c r="K862" s="1026"/>
      <c r="L862" s="1026"/>
      <c r="M862" s="1026"/>
      <c r="N862" s="1026"/>
      <c r="O862" s="1026"/>
      <c r="P862" s="1026"/>
      <c r="Q862" s="1026"/>
      <c r="R862" s="1026"/>
      <c r="S862" s="1026"/>
      <c r="T862" s="1026"/>
      <c r="U862" s="1026"/>
      <c r="V862" s="1026"/>
      <c r="W862" s="1026"/>
      <c r="X862" s="1026"/>
      <c r="Y862" s="1026"/>
      <c r="Z862" s="1026"/>
    </row>
    <row r="863" spans="1:26">
      <c r="A863" s="1026"/>
      <c r="B863" s="1026"/>
      <c r="C863" s="1026"/>
      <c r="D863" s="1026"/>
      <c r="E863" s="1026"/>
      <c r="F863" s="1026"/>
      <c r="G863" s="1026"/>
      <c r="H863" s="1026"/>
      <c r="I863" s="1026"/>
      <c r="J863" s="1026"/>
      <c r="K863" s="1026"/>
      <c r="L863" s="1026"/>
      <c r="M863" s="1026"/>
      <c r="N863" s="1026"/>
      <c r="O863" s="1026"/>
      <c r="P863" s="1026"/>
      <c r="Q863" s="1026"/>
      <c r="R863" s="1026"/>
      <c r="S863" s="1026"/>
      <c r="T863" s="1026"/>
      <c r="U863" s="1026"/>
      <c r="V863" s="1026"/>
      <c r="W863" s="1026"/>
      <c r="X863" s="1026"/>
      <c r="Y863" s="1026"/>
      <c r="Z863" s="1026"/>
    </row>
    <row r="864" spans="1:26">
      <c r="A864" s="1026"/>
      <c r="B864" s="1026"/>
      <c r="C864" s="1026"/>
      <c r="D864" s="1026"/>
      <c r="E864" s="1026"/>
      <c r="F864" s="1026"/>
      <c r="G864" s="1026"/>
      <c r="H864" s="1026"/>
      <c r="I864" s="1026"/>
      <c r="J864" s="1026"/>
      <c r="K864" s="1026"/>
      <c r="L864" s="1026"/>
      <c r="M864" s="1026"/>
      <c r="N864" s="1026"/>
      <c r="O864" s="1026"/>
      <c r="P864" s="1026"/>
      <c r="Q864" s="1026"/>
      <c r="R864" s="1026"/>
      <c r="S864" s="1026"/>
      <c r="T864" s="1026"/>
      <c r="U864" s="1026"/>
      <c r="V864" s="1026"/>
      <c r="W864" s="1026"/>
      <c r="X864" s="1026"/>
      <c r="Y864" s="1026"/>
      <c r="Z864" s="1026"/>
    </row>
    <row r="865" spans="1:26">
      <c r="A865" s="1026"/>
      <c r="B865" s="1026"/>
      <c r="C865" s="1026"/>
      <c r="D865" s="1026"/>
      <c r="E865" s="1026"/>
      <c r="F865" s="1026"/>
      <c r="G865" s="1026"/>
      <c r="H865" s="1026"/>
      <c r="I865" s="1026"/>
      <c r="J865" s="1026"/>
      <c r="K865" s="1026"/>
      <c r="L865" s="1026"/>
      <c r="M865" s="1026"/>
      <c r="N865" s="1026"/>
      <c r="O865" s="1026"/>
      <c r="P865" s="1026"/>
      <c r="Q865" s="1026"/>
      <c r="R865" s="1026"/>
      <c r="S865" s="1026"/>
      <c r="T865" s="1026"/>
      <c r="U865" s="1026"/>
      <c r="V865" s="1026"/>
      <c r="W865" s="1026"/>
      <c r="X865" s="1026"/>
      <c r="Y865" s="1026"/>
      <c r="Z865" s="1026"/>
    </row>
    <row r="866" spans="1:26">
      <c r="A866" s="1026"/>
      <c r="B866" s="1026"/>
      <c r="C866" s="1026"/>
      <c r="D866" s="1026"/>
      <c r="E866" s="1026"/>
      <c r="F866" s="1026"/>
      <c r="G866" s="1026"/>
      <c r="H866" s="1026"/>
      <c r="I866" s="1026"/>
      <c r="J866" s="1026"/>
      <c r="K866" s="1026"/>
      <c r="L866" s="1026"/>
      <c r="M866" s="1026"/>
      <c r="N866" s="1026"/>
      <c r="O866" s="1026"/>
      <c r="P866" s="1026"/>
      <c r="Q866" s="1026"/>
      <c r="R866" s="1026"/>
      <c r="S866" s="1026"/>
      <c r="T866" s="1026"/>
      <c r="U866" s="1026"/>
      <c r="V866" s="1026"/>
      <c r="W866" s="1026"/>
      <c r="X866" s="1026"/>
      <c r="Y866" s="1026"/>
      <c r="Z866" s="1026"/>
    </row>
    <row r="867" spans="1:26">
      <c r="A867" s="1026"/>
      <c r="B867" s="1026"/>
      <c r="C867" s="1026"/>
      <c r="D867" s="1026"/>
      <c r="E867" s="1026"/>
      <c r="F867" s="1026"/>
      <c r="G867" s="1026"/>
      <c r="H867" s="1026"/>
      <c r="I867" s="1026"/>
      <c r="J867" s="1026"/>
      <c r="K867" s="1026"/>
      <c r="L867" s="1026"/>
      <c r="M867" s="1026"/>
      <c r="N867" s="1026"/>
      <c r="O867" s="1026"/>
      <c r="P867" s="1026"/>
      <c r="Q867" s="1026"/>
      <c r="R867" s="1026"/>
      <c r="S867" s="1026"/>
      <c r="T867" s="1026"/>
      <c r="U867" s="1026"/>
      <c r="V867" s="1026"/>
      <c r="W867" s="1026"/>
      <c r="X867" s="1026"/>
      <c r="Y867" s="1026"/>
      <c r="Z867" s="1026"/>
    </row>
    <row r="868" spans="1:26">
      <c r="A868" s="1026"/>
      <c r="B868" s="1026"/>
      <c r="C868" s="1026"/>
      <c r="D868" s="1026"/>
      <c r="E868" s="1026"/>
      <c r="F868" s="1026"/>
      <c r="G868" s="1026"/>
      <c r="H868" s="1026"/>
      <c r="I868" s="1026"/>
      <c r="J868" s="1026"/>
      <c r="K868" s="1026"/>
      <c r="L868" s="1026"/>
      <c r="M868" s="1026"/>
      <c r="N868" s="1026"/>
      <c r="O868" s="1026"/>
      <c r="P868" s="1026"/>
      <c r="Q868" s="1026"/>
      <c r="R868" s="1026"/>
      <c r="S868" s="1026"/>
      <c r="T868" s="1026"/>
      <c r="U868" s="1026"/>
      <c r="V868" s="1026"/>
      <c r="W868" s="1026"/>
      <c r="X868" s="1026"/>
      <c r="Y868" s="1026"/>
      <c r="Z868" s="1026"/>
    </row>
    <row r="869" spans="1:26">
      <c r="A869" s="1026"/>
      <c r="B869" s="1026"/>
      <c r="C869" s="1026"/>
      <c r="D869" s="1026"/>
      <c r="E869" s="1026"/>
      <c r="F869" s="1026"/>
      <c r="G869" s="1026"/>
      <c r="H869" s="1026"/>
      <c r="I869" s="1026"/>
      <c r="J869" s="1026"/>
      <c r="K869" s="1026"/>
      <c r="L869" s="1026"/>
      <c r="M869" s="1026"/>
      <c r="N869" s="1026"/>
      <c r="O869" s="1026"/>
      <c r="P869" s="1026"/>
      <c r="Q869" s="1026"/>
      <c r="R869" s="1026"/>
      <c r="S869" s="1026"/>
      <c r="T869" s="1026"/>
      <c r="U869" s="1026"/>
      <c r="V869" s="1026"/>
      <c r="W869" s="1026"/>
      <c r="X869" s="1026"/>
      <c r="Y869" s="1026"/>
      <c r="Z869" s="1026"/>
    </row>
    <row r="870" spans="1:26">
      <c r="A870" s="1026"/>
      <c r="B870" s="1026"/>
      <c r="C870" s="1026"/>
      <c r="D870" s="1026"/>
      <c r="E870" s="1026"/>
      <c r="F870" s="1026"/>
      <c r="G870" s="1026"/>
      <c r="H870" s="1026"/>
      <c r="I870" s="1026"/>
      <c r="J870" s="1026"/>
      <c r="K870" s="1026"/>
      <c r="L870" s="1026"/>
      <c r="M870" s="1026"/>
      <c r="N870" s="1026"/>
      <c r="O870" s="1026"/>
      <c r="P870" s="1026"/>
      <c r="Q870" s="1026"/>
      <c r="R870" s="1026"/>
      <c r="S870" s="1026"/>
      <c r="T870" s="1026"/>
      <c r="U870" s="1026"/>
      <c r="V870" s="1026"/>
      <c r="W870" s="1026"/>
      <c r="X870" s="1026"/>
      <c r="Y870" s="1026"/>
      <c r="Z870" s="1026"/>
    </row>
    <row r="871" spans="1:26">
      <c r="A871" s="1026"/>
      <c r="B871" s="1026"/>
      <c r="C871" s="1026"/>
      <c r="D871" s="1026"/>
      <c r="E871" s="1026"/>
      <c r="F871" s="1026"/>
      <c r="G871" s="1026"/>
      <c r="H871" s="1026"/>
      <c r="I871" s="1026"/>
      <c r="J871" s="1026"/>
      <c r="K871" s="1026"/>
      <c r="L871" s="1026"/>
      <c r="M871" s="1026"/>
      <c r="N871" s="1026"/>
      <c r="O871" s="1026"/>
      <c r="P871" s="1026"/>
      <c r="Q871" s="1026"/>
      <c r="R871" s="1026"/>
      <c r="S871" s="1026"/>
      <c r="T871" s="1026"/>
      <c r="U871" s="1026"/>
      <c r="V871" s="1026"/>
      <c r="W871" s="1026"/>
      <c r="X871" s="1026"/>
      <c r="Y871" s="1026"/>
      <c r="Z871" s="1026"/>
    </row>
    <row r="872" spans="1:26">
      <c r="A872" s="1026"/>
      <c r="B872" s="1026"/>
      <c r="C872" s="1026"/>
      <c r="D872" s="1026"/>
      <c r="E872" s="1026"/>
      <c r="F872" s="1026"/>
      <c r="G872" s="1026"/>
      <c r="H872" s="1026"/>
      <c r="I872" s="1026"/>
      <c r="J872" s="1026"/>
      <c r="K872" s="1026"/>
      <c r="L872" s="1026"/>
      <c r="M872" s="1026"/>
      <c r="N872" s="1026"/>
      <c r="O872" s="1026"/>
      <c r="P872" s="1026"/>
      <c r="Q872" s="1026"/>
      <c r="R872" s="1026"/>
      <c r="S872" s="1026"/>
      <c r="T872" s="1026"/>
      <c r="U872" s="1026"/>
      <c r="V872" s="1026"/>
      <c r="W872" s="1026"/>
      <c r="X872" s="1026"/>
      <c r="Y872" s="1026"/>
      <c r="Z872" s="1026"/>
    </row>
    <row r="873" spans="1:26">
      <c r="A873" s="1026"/>
      <c r="B873" s="1026"/>
      <c r="C873" s="1026"/>
      <c r="D873" s="1026"/>
      <c r="E873" s="1026"/>
      <c r="F873" s="1026"/>
      <c r="G873" s="1026"/>
      <c r="H873" s="1026"/>
      <c r="I873" s="1026"/>
      <c r="J873" s="1026"/>
      <c r="K873" s="1026"/>
      <c r="L873" s="1026"/>
      <c r="M873" s="1026"/>
      <c r="N873" s="1026"/>
      <c r="O873" s="1026"/>
      <c r="P873" s="1026"/>
      <c r="Q873" s="1026"/>
      <c r="R873" s="1026"/>
      <c r="S873" s="1026"/>
      <c r="T873" s="1026"/>
      <c r="U873" s="1026"/>
      <c r="V873" s="1026"/>
      <c r="W873" s="1026"/>
      <c r="X873" s="1026"/>
      <c r="Y873" s="1026"/>
      <c r="Z873" s="1026"/>
    </row>
    <row r="874" spans="1:26">
      <c r="A874" s="1026"/>
      <c r="B874" s="1026"/>
      <c r="C874" s="1026"/>
      <c r="D874" s="1026"/>
      <c r="E874" s="1026"/>
      <c r="F874" s="1026"/>
      <c r="G874" s="1026"/>
      <c r="H874" s="1026"/>
      <c r="I874" s="1026"/>
      <c r="J874" s="1026"/>
      <c r="K874" s="1026"/>
      <c r="L874" s="1026"/>
      <c r="M874" s="1026"/>
      <c r="N874" s="1026"/>
      <c r="O874" s="1026"/>
      <c r="P874" s="1026"/>
      <c r="Q874" s="1026"/>
      <c r="R874" s="1026"/>
      <c r="S874" s="1026"/>
      <c r="T874" s="1026"/>
      <c r="U874" s="1026"/>
      <c r="V874" s="1026"/>
      <c r="W874" s="1026"/>
      <c r="X874" s="1026"/>
      <c r="Y874" s="1026"/>
      <c r="Z874" s="1026"/>
    </row>
    <row r="875" spans="1:26">
      <c r="A875" s="1026"/>
      <c r="B875" s="1026"/>
      <c r="C875" s="1026"/>
      <c r="D875" s="1026"/>
      <c r="E875" s="1026"/>
      <c r="F875" s="1026"/>
      <c r="G875" s="1026"/>
      <c r="H875" s="1026"/>
      <c r="I875" s="1026"/>
      <c r="J875" s="1026"/>
      <c r="K875" s="1026"/>
      <c r="L875" s="1026"/>
      <c r="M875" s="1026"/>
      <c r="N875" s="1026"/>
      <c r="O875" s="1026"/>
      <c r="P875" s="1026"/>
      <c r="Q875" s="1026"/>
      <c r="R875" s="1026"/>
      <c r="S875" s="1026"/>
      <c r="T875" s="1026"/>
      <c r="U875" s="1026"/>
      <c r="V875" s="1026"/>
      <c r="W875" s="1026"/>
      <c r="X875" s="1026"/>
      <c r="Y875" s="1026"/>
      <c r="Z875" s="1026"/>
    </row>
    <row r="876" spans="1:26">
      <c r="A876" s="1026"/>
      <c r="B876" s="1026"/>
      <c r="C876" s="1026"/>
      <c r="D876" s="1026"/>
      <c r="E876" s="1026"/>
      <c r="F876" s="1026"/>
      <c r="G876" s="1026"/>
      <c r="H876" s="1026"/>
      <c r="I876" s="1026"/>
      <c r="J876" s="1026"/>
      <c r="K876" s="1026"/>
      <c r="L876" s="1026"/>
      <c r="M876" s="1026"/>
      <c r="N876" s="1026"/>
      <c r="O876" s="1026"/>
      <c r="P876" s="1026"/>
      <c r="Q876" s="1026"/>
      <c r="R876" s="1026"/>
      <c r="S876" s="1026"/>
      <c r="T876" s="1026"/>
      <c r="U876" s="1026"/>
      <c r="V876" s="1026"/>
      <c r="W876" s="1026"/>
      <c r="X876" s="1026"/>
      <c r="Y876" s="1026"/>
      <c r="Z876" s="1026"/>
    </row>
    <row r="877" spans="1:26">
      <c r="A877" s="1026"/>
      <c r="B877" s="1026"/>
      <c r="C877" s="1026"/>
      <c r="D877" s="1026"/>
      <c r="E877" s="1026"/>
      <c r="F877" s="1026"/>
      <c r="G877" s="1026"/>
      <c r="H877" s="1026"/>
      <c r="I877" s="1026"/>
      <c r="J877" s="1026"/>
      <c r="K877" s="1026"/>
      <c r="L877" s="1026"/>
      <c r="M877" s="1026"/>
      <c r="N877" s="1026"/>
      <c r="O877" s="1026"/>
      <c r="P877" s="1026"/>
      <c r="Q877" s="1026"/>
      <c r="R877" s="1026"/>
      <c r="S877" s="1026"/>
      <c r="T877" s="1026"/>
      <c r="U877" s="1026"/>
      <c r="V877" s="1026"/>
      <c r="W877" s="1026"/>
      <c r="X877" s="1026"/>
      <c r="Y877" s="1026"/>
      <c r="Z877" s="1026"/>
    </row>
    <row r="878" spans="1:26">
      <c r="A878" s="1026"/>
      <c r="B878" s="1026"/>
      <c r="C878" s="1026"/>
      <c r="D878" s="1026"/>
      <c r="E878" s="1026"/>
      <c r="F878" s="1026"/>
      <c r="G878" s="1026"/>
      <c r="H878" s="1026"/>
      <c r="I878" s="1026"/>
      <c r="J878" s="1026"/>
      <c r="K878" s="1026"/>
      <c r="L878" s="1026"/>
      <c r="M878" s="1026"/>
      <c r="N878" s="1026"/>
      <c r="O878" s="1026"/>
      <c r="P878" s="1026"/>
      <c r="Q878" s="1026"/>
      <c r="R878" s="1026"/>
      <c r="S878" s="1026"/>
      <c r="T878" s="1026"/>
      <c r="U878" s="1026"/>
      <c r="V878" s="1026"/>
      <c r="W878" s="1026"/>
      <c r="X878" s="1026"/>
      <c r="Y878" s="1026"/>
      <c r="Z878" s="1026"/>
    </row>
    <row r="879" spans="1:26">
      <c r="A879" s="1026"/>
      <c r="B879" s="1026"/>
      <c r="C879" s="1026"/>
      <c r="D879" s="1026"/>
      <c r="E879" s="1026"/>
      <c r="F879" s="1026"/>
      <c r="G879" s="1026"/>
      <c r="H879" s="1026"/>
      <c r="I879" s="1026"/>
      <c r="J879" s="1026"/>
      <c r="K879" s="1026"/>
      <c r="L879" s="1026"/>
      <c r="M879" s="1026"/>
      <c r="N879" s="1026"/>
      <c r="O879" s="1026"/>
      <c r="P879" s="1026"/>
      <c r="Q879" s="1026"/>
      <c r="R879" s="1026"/>
      <c r="S879" s="1026"/>
      <c r="T879" s="1026"/>
      <c r="U879" s="1026"/>
      <c r="V879" s="1026"/>
      <c r="W879" s="1026"/>
      <c r="X879" s="1026"/>
      <c r="Y879" s="1026"/>
      <c r="Z879" s="1026"/>
    </row>
    <row r="880" spans="1:26">
      <c r="A880" s="1026"/>
      <c r="B880" s="1026"/>
      <c r="C880" s="1026"/>
      <c r="D880" s="1026"/>
      <c r="E880" s="1026"/>
      <c r="F880" s="1026"/>
      <c r="G880" s="1026"/>
      <c r="H880" s="1026"/>
      <c r="I880" s="1026"/>
      <c r="J880" s="1026"/>
      <c r="K880" s="1026"/>
      <c r="L880" s="1026"/>
      <c r="M880" s="1026"/>
      <c r="N880" s="1026"/>
      <c r="O880" s="1026"/>
      <c r="P880" s="1026"/>
      <c r="Q880" s="1026"/>
      <c r="R880" s="1026"/>
      <c r="S880" s="1026"/>
      <c r="T880" s="1026"/>
      <c r="U880" s="1026"/>
      <c r="V880" s="1026"/>
      <c r="W880" s="1026"/>
      <c r="X880" s="1026"/>
      <c r="Y880" s="1026"/>
      <c r="Z880" s="1026"/>
    </row>
    <row r="881" spans="1:26">
      <c r="A881" s="1026"/>
      <c r="B881" s="1026"/>
      <c r="C881" s="1026"/>
      <c r="D881" s="1026"/>
      <c r="E881" s="1026"/>
      <c r="F881" s="1026"/>
      <c r="G881" s="1026"/>
      <c r="H881" s="1026"/>
      <c r="I881" s="1026"/>
      <c r="J881" s="1026"/>
      <c r="K881" s="1026"/>
      <c r="L881" s="1026"/>
      <c r="M881" s="1026"/>
      <c r="N881" s="1026"/>
      <c r="O881" s="1026"/>
      <c r="P881" s="1026"/>
      <c r="Q881" s="1026"/>
      <c r="R881" s="1026"/>
      <c r="S881" s="1026"/>
      <c r="T881" s="1026"/>
      <c r="U881" s="1026"/>
      <c r="V881" s="1026"/>
      <c r="W881" s="1026"/>
      <c r="X881" s="1026"/>
      <c r="Y881" s="1026"/>
      <c r="Z881" s="1026"/>
    </row>
    <row r="882" spans="1:26">
      <c r="A882" s="1026"/>
      <c r="B882" s="1026"/>
      <c r="C882" s="1026"/>
      <c r="D882" s="1026"/>
      <c r="E882" s="1026"/>
      <c r="F882" s="1026"/>
      <c r="G882" s="1026"/>
      <c r="H882" s="1026"/>
      <c r="I882" s="1026"/>
      <c r="J882" s="1026"/>
      <c r="K882" s="1026"/>
      <c r="L882" s="1026"/>
      <c r="M882" s="1026"/>
      <c r="N882" s="1026"/>
      <c r="O882" s="1026"/>
      <c r="P882" s="1026"/>
      <c r="Q882" s="1026"/>
      <c r="R882" s="1026"/>
      <c r="S882" s="1026"/>
      <c r="T882" s="1026"/>
      <c r="U882" s="1026"/>
      <c r="V882" s="1026"/>
      <c r="W882" s="1026"/>
      <c r="X882" s="1026"/>
      <c r="Y882" s="1026"/>
      <c r="Z882" s="1026"/>
    </row>
    <row r="883" spans="1:26">
      <c r="A883" s="1026"/>
      <c r="B883" s="1026"/>
      <c r="C883" s="1026"/>
      <c r="D883" s="1026"/>
      <c r="E883" s="1026"/>
      <c r="F883" s="1026"/>
      <c r="G883" s="1026"/>
      <c r="H883" s="1026"/>
      <c r="I883" s="1026"/>
      <c r="J883" s="1026"/>
      <c r="K883" s="1026"/>
      <c r="L883" s="1026"/>
      <c r="M883" s="1026"/>
      <c r="N883" s="1026"/>
      <c r="O883" s="1026"/>
      <c r="P883" s="1026"/>
      <c r="Q883" s="1026"/>
      <c r="R883" s="1026"/>
      <c r="S883" s="1026"/>
      <c r="T883" s="1026"/>
      <c r="U883" s="1026"/>
      <c r="V883" s="1026"/>
      <c r="W883" s="1026"/>
      <c r="X883" s="1026"/>
      <c r="Y883" s="1026"/>
      <c r="Z883" s="1026"/>
    </row>
    <row r="884" spans="1:26">
      <c r="A884" s="1026"/>
      <c r="B884" s="1026"/>
      <c r="C884" s="1026"/>
      <c r="D884" s="1026"/>
      <c r="E884" s="1026"/>
      <c r="F884" s="1026"/>
      <c r="G884" s="1026"/>
      <c r="H884" s="1026"/>
      <c r="I884" s="1026"/>
      <c r="J884" s="1026"/>
      <c r="K884" s="1026"/>
      <c r="L884" s="1026"/>
      <c r="M884" s="1026"/>
      <c r="N884" s="1026"/>
      <c r="O884" s="1026"/>
      <c r="P884" s="1026"/>
      <c r="Q884" s="1026"/>
      <c r="R884" s="1026"/>
      <c r="S884" s="1026"/>
      <c r="T884" s="1026"/>
      <c r="U884" s="1026"/>
      <c r="V884" s="1026"/>
      <c r="W884" s="1026"/>
      <c r="X884" s="1026"/>
      <c r="Y884" s="1026"/>
      <c r="Z884" s="1026"/>
    </row>
    <row r="885" spans="1:26">
      <c r="A885" s="1026"/>
      <c r="B885" s="1026"/>
      <c r="C885" s="1026"/>
      <c r="D885" s="1026"/>
      <c r="E885" s="1026"/>
      <c r="F885" s="1026"/>
      <c r="G885" s="1026"/>
      <c r="H885" s="1026"/>
      <c r="I885" s="1026"/>
      <c r="J885" s="1026"/>
      <c r="K885" s="1026"/>
      <c r="L885" s="1026"/>
      <c r="M885" s="1026"/>
      <c r="N885" s="1026"/>
      <c r="O885" s="1026"/>
      <c r="P885" s="1026"/>
      <c r="Q885" s="1026"/>
      <c r="R885" s="1026"/>
      <c r="S885" s="1026"/>
      <c r="T885" s="1026"/>
      <c r="U885" s="1026"/>
      <c r="V885" s="1026"/>
      <c r="W885" s="1026"/>
      <c r="X885" s="1026"/>
      <c r="Y885" s="1026"/>
      <c r="Z885" s="1026"/>
    </row>
    <row r="886" spans="1:26">
      <c r="A886" s="1026"/>
      <c r="B886" s="1026"/>
      <c r="C886" s="1026"/>
      <c r="D886" s="1026"/>
      <c r="E886" s="1026"/>
      <c r="F886" s="1026"/>
      <c r="G886" s="1026"/>
      <c r="H886" s="1026"/>
      <c r="I886" s="1026"/>
      <c r="J886" s="1026"/>
      <c r="K886" s="1026"/>
      <c r="L886" s="1026"/>
      <c r="M886" s="1026"/>
      <c r="N886" s="1026"/>
      <c r="O886" s="1026"/>
      <c r="P886" s="1026"/>
      <c r="Q886" s="1026"/>
      <c r="R886" s="1026"/>
      <c r="S886" s="1026"/>
      <c r="T886" s="1026"/>
      <c r="U886" s="1026"/>
      <c r="V886" s="1026"/>
      <c r="W886" s="1026"/>
      <c r="X886" s="1026"/>
      <c r="Y886" s="1026"/>
      <c r="Z886" s="1026"/>
    </row>
    <row r="887" spans="1:26">
      <c r="A887" s="1026"/>
      <c r="B887" s="1026"/>
      <c r="C887" s="1026"/>
      <c r="D887" s="1026"/>
      <c r="E887" s="1026"/>
      <c r="F887" s="1026"/>
      <c r="G887" s="1026"/>
      <c r="H887" s="1026"/>
      <c r="I887" s="1026"/>
      <c r="J887" s="1026"/>
      <c r="K887" s="1026"/>
      <c r="L887" s="1026"/>
      <c r="M887" s="1026"/>
      <c r="N887" s="1026"/>
      <c r="O887" s="1026"/>
      <c r="P887" s="1026"/>
      <c r="Q887" s="1026"/>
      <c r="R887" s="1026"/>
      <c r="S887" s="1026"/>
      <c r="T887" s="1026"/>
      <c r="U887" s="1026"/>
      <c r="V887" s="1026"/>
      <c r="W887" s="1026"/>
      <c r="X887" s="1026"/>
      <c r="Y887" s="1026"/>
      <c r="Z887" s="1026"/>
    </row>
    <row r="888" spans="1:26">
      <c r="A888" s="1026"/>
      <c r="B888" s="1026"/>
      <c r="C888" s="1026"/>
      <c r="D888" s="1026"/>
      <c r="E888" s="1026"/>
      <c r="F888" s="1026"/>
      <c r="G888" s="1026"/>
      <c r="H888" s="1026"/>
      <c r="I888" s="1026"/>
      <c r="J888" s="1026"/>
      <c r="K888" s="1026"/>
      <c r="L888" s="1026"/>
      <c r="M888" s="1026"/>
      <c r="N888" s="1026"/>
      <c r="O888" s="1026"/>
      <c r="P888" s="1026"/>
      <c r="Q888" s="1026"/>
      <c r="R888" s="1026"/>
      <c r="S888" s="1026"/>
      <c r="T888" s="1026"/>
      <c r="U888" s="1026"/>
      <c r="V888" s="1026"/>
      <c r="W888" s="1026"/>
      <c r="X888" s="1026"/>
      <c r="Y888" s="1026"/>
      <c r="Z888" s="1026"/>
    </row>
    <row r="889" spans="1:26">
      <c r="A889" s="1026"/>
      <c r="B889" s="1026"/>
      <c r="C889" s="1026"/>
      <c r="D889" s="1026"/>
      <c r="E889" s="1026"/>
      <c r="F889" s="1026"/>
      <c r="G889" s="1026"/>
      <c r="H889" s="1026"/>
      <c r="I889" s="1026"/>
      <c r="J889" s="1026"/>
      <c r="K889" s="1026"/>
      <c r="L889" s="1026"/>
      <c r="M889" s="1026"/>
      <c r="N889" s="1026"/>
      <c r="O889" s="1026"/>
      <c r="P889" s="1026"/>
      <c r="Q889" s="1026"/>
      <c r="R889" s="1026"/>
      <c r="S889" s="1026"/>
      <c r="T889" s="1026"/>
      <c r="U889" s="1026"/>
      <c r="V889" s="1026"/>
      <c r="W889" s="1026"/>
      <c r="X889" s="1026"/>
      <c r="Y889" s="1026"/>
      <c r="Z889" s="1026"/>
    </row>
    <row r="890" spans="1:26">
      <c r="A890" s="1026"/>
      <c r="B890" s="1026"/>
      <c r="C890" s="1026"/>
      <c r="D890" s="1026"/>
      <c r="E890" s="1026"/>
      <c r="F890" s="1026"/>
      <c r="G890" s="1026"/>
      <c r="H890" s="1026"/>
      <c r="I890" s="1026"/>
      <c r="J890" s="1026"/>
      <c r="K890" s="1026"/>
      <c r="L890" s="1026"/>
      <c r="M890" s="1026"/>
      <c r="N890" s="1026"/>
      <c r="O890" s="1026"/>
      <c r="P890" s="1026"/>
      <c r="Q890" s="1026"/>
      <c r="R890" s="1026"/>
      <c r="S890" s="1026"/>
      <c r="T890" s="1026"/>
      <c r="U890" s="1026"/>
      <c r="V890" s="1026"/>
      <c r="W890" s="1026"/>
      <c r="X890" s="1026"/>
      <c r="Y890" s="1026"/>
      <c r="Z890" s="1026"/>
    </row>
    <row r="891" spans="1:26">
      <c r="A891" s="1026"/>
      <c r="B891" s="1026"/>
      <c r="C891" s="1026"/>
      <c r="D891" s="1026"/>
      <c r="E891" s="1026"/>
      <c r="F891" s="1026"/>
      <c r="G891" s="1026"/>
      <c r="H891" s="1026"/>
      <c r="I891" s="1026"/>
      <c r="J891" s="1026"/>
      <c r="K891" s="1026"/>
      <c r="L891" s="1026"/>
      <c r="M891" s="1026"/>
      <c r="N891" s="1026"/>
      <c r="O891" s="1026"/>
      <c r="P891" s="1026"/>
      <c r="Q891" s="1026"/>
      <c r="R891" s="1026"/>
      <c r="S891" s="1026"/>
      <c r="T891" s="1026"/>
      <c r="U891" s="1026"/>
      <c r="V891" s="1026"/>
      <c r="W891" s="1026"/>
      <c r="X891" s="1026"/>
      <c r="Y891" s="1026"/>
      <c r="Z891" s="1026"/>
    </row>
    <row r="892" spans="1:26">
      <c r="A892" s="1026"/>
      <c r="B892" s="1026"/>
      <c r="C892" s="1026"/>
      <c r="D892" s="1026"/>
      <c r="E892" s="1026"/>
      <c r="F892" s="1026"/>
      <c r="G892" s="1026"/>
      <c r="H892" s="1026"/>
      <c r="I892" s="1026"/>
      <c r="J892" s="1026"/>
      <c r="K892" s="1026"/>
      <c r="L892" s="1026"/>
      <c r="M892" s="1026"/>
      <c r="N892" s="1026"/>
      <c r="O892" s="1026"/>
      <c r="P892" s="1026"/>
      <c r="Q892" s="1026"/>
      <c r="R892" s="1026"/>
      <c r="S892" s="1026"/>
      <c r="T892" s="1026"/>
      <c r="U892" s="1026"/>
      <c r="V892" s="1026"/>
      <c r="W892" s="1026"/>
      <c r="X892" s="1026"/>
      <c r="Y892" s="1026"/>
      <c r="Z892" s="1026"/>
    </row>
    <row r="893" spans="1:26">
      <c r="A893" s="1026"/>
      <c r="B893" s="1026"/>
      <c r="C893" s="1026"/>
      <c r="D893" s="1026"/>
      <c r="E893" s="1026"/>
      <c r="F893" s="1026"/>
      <c r="G893" s="1026"/>
      <c r="H893" s="1026"/>
      <c r="I893" s="1026"/>
      <c r="J893" s="1026"/>
      <c r="K893" s="1026"/>
      <c r="L893" s="1026"/>
      <c r="M893" s="1026"/>
      <c r="N893" s="1026"/>
      <c r="O893" s="1026"/>
      <c r="P893" s="1026"/>
      <c r="Q893" s="1026"/>
      <c r="R893" s="1026"/>
      <c r="S893" s="1026"/>
      <c r="T893" s="1026"/>
      <c r="U893" s="1026"/>
      <c r="V893" s="1026"/>
      <c r="W893" s="1026"/>
      <c r="X893" s="1026"/>
      <c r="Y893" s="1026"/>
      <c r="Z893" s="1026"/>
    </row>
    <row r="894" spans="1:26">
      <c r="A894" s="1026"/>
      <c r="B894" s="1026"/>
      <c r="C894" s="1026"/>
      <c r="D894" s="1026"/>
      <c r="E894" s="1026"/>
      <c r="F894" s="1026"/>
      <c r="G894" s="1026"/>
      <c r="H894" s="1026"/>
      <c r="I894" s="1026"/>
      <c r="J894" s="1026"/>
      <c r="K894" s="1026"/>
      <c r="L894" s="1026"/>
      <c r="M894" s="1026"/>
      <c r="N894" s="1026"/>
      <c r="O894" s="1026"/>
      <c r="P894" s="1026"/>
      <c r="Q894" s="1026"/>
      <c r="R894" s="1026"/>
      <c r="S894" s="1026"/>
      <c r="T894" s="1026"/>
      <c r="U894" s="1026"/>
      <c r="V894" s="1026"/>
      <c r="W894" s="1026"/>
      <c r="X894" s="1026"/>
      <c r="Y894" s="1026"/>
      <c r="Z894" s="1026"/>
    </row>
    <row r="895" spans="1:26">
      <c r="A895" s="1026"/>
      <c r="B895" s="1026"/>
      <c r="C895" s="1026"/>
      <c r="D895" s="1026"/>
      <c r="E895" s="1026"/>
      <c r="F895" s="1026"/>
      <c r="G895" s="1026"/>
      <c r="H895" s="1026"/>
      <c r="I895" s="1026"/>
      <c r="J895" s="1026"/>
      <c r="K895" s="1026"/>
      <c r="L895" s="1026"/>
      <c r="M895" s="1026"/>
      <c r="N895" s="1026"/>
      <c r="O895" s="1026"/>
      <c r="P895" s="1026"/>
      <c r="Q895" s="1026"/>
      <c r="R895" s="1026"/>
      <c r="S895" s="1026"/>
      <c r="T895" s="1026"/>
      <c r="U895" s="1026"/>
      <c r="V895" s="1026"/>
      <c r="W895" s="1026"/>
      <c r="X895" s="1026"/>
      <c r="Y895" s="1026"/>
      <c r="Z895" s="1026"/>
    </row>
    <row r="896" spans="1:26">
      <c r="A896" s="1026"/>
      <c r="B896" s="1026"/>
      <c r="C896" s="1026"/>
      <c r="D896" s="1026"/>
      <c r="E896" s="1026"/>
      <c r="F896" s="1026"/>
      <c r="G896" s="1026"/>
      <c r="H896" s="1026"/>
      <c r="I896" s="1026"/>
      <c r="J896" s="1026"/>
      <c r="K896" s="1026"/>
      <c r="L896" s="1026"/>
      <c r="M896" s="1026"/>
      <c r="N896" s="1026"/>
      <c r="O896" s="1026"/>
      <c r="P896" s="1026"/>
      <c r="Q896" s="1026"/>
      <c r="R896" s="1026"/>
      <c r="S896" s="1026"/>
      <c r="T896" s="1026"/>
      <c r="U896" s="1026"/>
      <c r="V896" s="1026"/>
      <c r="W896" s="1026"/>
      <c r="X896" s="1026"/>
      <c r="Y896" s="1026"/>
      <c r="Z896" s="1026"/>
    </row>
    <row r="897" spans="1:26">
      <c r="A897" s="1026"/>
      <c r="B897" s="1026"/>
      <c r="C897" s="1026"/>
      <c r="D897" s="1026"/>
      <c r="E897" s="1026"/>
      <c r="F897" s="1026"/>
      <c r="G897" s="1026"/>
      <c r="H897" s="1026"/>
      <c r="I897" s="1026"/>
      <c r="J897" s="1026"/>
      <c r="K897" s="1026"/>
      <c r="L897" s="1026"/>
      <c r="M897" s="1026"/>
      <c r="N897" s="1026"/>
      <c r="O897" s="1026"/>
      <c r="P897" s="1026"/>
      <c r="Q897" s="1026"/>
      <c r="R897" s="1026"/>
      <c r="S897" s="1026"/>
      <c r="T897" s="1026"/>
      <c r="U897" s="1026"/>
      <c r="V897" s="1026"/>
      <c r="W897" s="1026"/>
      <c r="X897" s="1026"/>
      <c r="Y897" s="1026"/>
      <c r="Z897" s="1026"/>
    </row>
    <row r="898" spans="1:26">
      <c r="A898" s="1026"/>
      <c r="B898" s="1026"/>
      <c r="C898" s="1026"/>
      <c r="D898" s="1026"/>
      <c r="E898" s="1026"/>
      <c r="F898" s="1026"/>
      <c r="G898" s="1026"/>
      <c r="H898" s="1026"/>
      <c r="I898" s="1026"/>
      <c r="J898" s="1026"/>
      <c r="K898" s="1026"/>
      <c r="L898" s="1026"/>
      <c r="M898" s="1026"/>
      <c r="N898" s="1026"/>
      <c r="O898" s="1026"/>
      <c r="P898" s="1026"/>
      <c r="Q898" s="1026"/>
      <c r="R898" s="1026"/>
      <c r="S898" s="1026"/>
      <c r="T898" s="1026"/>
      <c r="U898" s="1026"/>
      <c r="V898" s="1026"/>
      <c r="W898" s="1026"/>
      <c r="X898" s="1026"/>
      <c r="Y898" s="1026"/>
      <c r="Z898" s="1026"/>
    </row>
    <row r="899" spans="1:26">
      <c r="A899" s="1026"/>
      <c r="B899" s="1026"/>
      <c r="C899" s="1026"/>
      <c r="D899" s="1026"/>
      <c r="E899" s="1026"/>
      <c r="F899" s="1026"/>
      <c r="G899" s="1026"/>
      <c r="H899" s="1026"/>
      <c r="I899" s="1026"/>
      <c r="J899" s="1026"/>
      <c r="K899" s="1026"/>
      <c r="L899" s="1026"/>
      <c r="M899" s="1026"/>
      <c r="N899" s="1026"/>
      <c r="O899" s="1026"/>
      <c r="P899" s="1026"/>
      <c r="Q899" s="1026"/>
      <c r="R899" s="1026"/>
      <c r="S899" s="1026"/>
      <c r="T899" s="1026"/>
      <c r="U899" s="1026"/>
      <c r="V899" s="1026"/>
      <c r="W899" s="1026"/>
      <c r="X899" s="1026"/>
      <c r="Y899" s="1026"/>
      <c r="Z899" s="1026"/>
    </row>
    <row r="900" spans="1:26">
      <c r="A900" s="1026"/>
      <c r="B900" s="1026"/>
      <c r="C900" s="1026"/>
      <c r="D900" s="1026"/>
      <c r="E900" s="1026"/>
      <c r="F900" s="1026"/>
      <c r="G900" s="1026"/>
      <c r="H900" s="1026"/>
      <c r="I900" s="1026"/>
      <c r="J900" s="1026"/>
      <c r="K900" s="1026"/>
      <c r="L900" s="1026"/>
      <c r="M900" s="1026"/>
      <c r="N900" s="1026"/>
      <c r="O900" s="1026"/>
      <c r="P900" s="1026"/>
      <c r="Q900" s="1026"/>
      <c r="R900" s="1026"/>
      <c r="S900" s="1026"/>
      <c r="T900" s="1026"/>
      <c r="U900" s="1026"/>
      <c r="V900" s="1026"/>
      <c r="W900" s="1026"/>
      <c r="X900" s="1026"/>
      <c r="Y900" s="1026"/>
      <c r="Z900" s="1026"/>
    </row>
    <row r="901" spans="1:26">
      <c r="A901" s="1026"/>
      <c r="B901" s="1026"/>
      <c r="C901" s="1026"/>
      <c r="D901" s="1026"/>
      <c r="E901" s="1026"/>
      <c r="F901" s="1026"/>
      <c r="G901" s="1026"/>
      <c r="H901" s="1026"/>
      <c r="I901" s="1026"/>
      <c r="J901" s="1026"/>
      <c r="K901" s="1026"/>
      <c r="L901" s="1026"/>
      <c r="M901" s="1026"/>
      <c r="N901" s="1026"/>
      <c r="O901" s="1026"/>
      <c r="P901" s="1026"/>
      <c r="Q901" s="1026"/>
      <c r="R901" s="1026"/>
      <c r="S901" s="1026"/>
      <c r="T901" s="1026"/>
      <c r="U901" s="1026"/>
      <c r="V901" s="1026"/>
      <c r="W901" s="1026"/>
      <c r="X901" s="1026"/>
      <c r="Y901" s="1026"/>
      <c r="Z901" s="1026"/>
    </row>
    <row r="902" spans="1:26">
      <c r="A902" s="1026"/>
      <c r="B902" s="1026"/>
      <c r="C902" s="1026"/>
      <c r="D902" s="1026"/>
      <c r="E902" s="1026"/>
      <c r="F902" s="1026"/>
      <c r="G902" s="1026"/>
      <c r="H902" s="1026"/>
      <c r="I902" s="1026"/>
      <c r="J902" s="1026"/>
      <c r="K902" s="1026"/>
      <c r="L902" s="1026"/>
      <c r="M902" s="1026"/>
      <c r="N902" s="1026"/>
      <c r="O902" s="1026"/>
      <c r="P902" s="1026"/>
      <c r="Q902" s="1026"/>
      <c r="R902" s="1026"/>
      <c r="S902" s="1026"/>
      <c r="T902" s="1026"/>
      <c r="U902" s="1026"/>
      <c r="V902" s="1026"/>
      <c r="W902" s="1026"/>
      <c r="X902" s="1026"/>
      <c r="Y902" s="1026"/>
      <c r="Z902" s="1026"/>
    </row>
    <row r="903" spans="1:26">
      <c r="A903" s="1026"/>
      <c r="B903" s="1026"/>
      <c r="C903" s="1026"/>
      <c r="D903" s="1026"/>
      <c r="E903" s="1026"/>
      <c r="F903" s="1026"/>
      <c r="G903" s="1026"/>
      <c r="H903" s="1026"/>
      <c r="I903" s="1026"/>
      <c r="J903" s="1026"/>
      <c r="K903" s="1026"/>
      <c r="L903" s="1026"/>
      <c r="M903" s="1026"/>
      <c r="N903" s="1026"/>
      <c r="O903" s="1026"/>
      <c r="P903" s="1026"/>
      <c r="Q903" s="1026"/>
      <c r="R903" s="1026"/>
      <c r="S903" s="1026"/>
      <c r="T903" s="1026"/>
      <c r="U903" s="1026"/>
      <c r="V903" s="1026"/>
      <c r="W903" s="1026"/>
      <c r="X903" s="1026"/>
      <c r="Y903" s="1026"/>
      <c r="Z903" s="1026"/>
    </row>
    <row r="904" spans="1:26">
      <c r="A904" s="1026"/>
      <c r="B904" s="1026"/>
      <c r="C904" s="1026"/>
      <c r="D904" s="1026"/>
      <c r="E904" s="1026"/>
      <c r="F904" s="1026"/>
      <c r="G904" s="1026"/>
      <c r="H904" s="1026"/>
      <c r="I904" s="1026"/>
      <c r="J904" s="1026"/>
      <c r="K904" s="1026"/>
      <c r="L904" s="1026"/>
      <c r="M904" s="1026"/>
      <c r="N904" s="1026"/>
      <c r="O904" s="1026"/>
      <c r="P904" s="1026"/>
      <c r="Q904" s="1026"/>
      <c r="R904" s="1026"/>
      <c r="S904" s="1026"/>
      <c r="T904" s="1026"/>
      <c r="U904" s="1026"/>
      <c r="V904" s="1026"/>
      <c r="W904" s="1026"/>
      <c r="X904" s="1026"/>
      <c r="Y904" s="1026"/>
      <c r="Z904" s="1026"/>
    </row>
    <row r="905" spans="1:26">
      <c r="A905" s="1026"/>
      <c r="B905" s="1026"/>
      <c r="C905" s="1026"/>
      <c r="D905" s="1026"/>
      <c r="E905" s="1026"/>
      <c r="F905" s="1026"/>
      <c r="G905" s="1026"/>
      <c r="H905" s="1026"/>
      <c r="I905" s="1026"/>
      <c r="J905" s="1026"/>
      <c r="K905" s="1026"/>
      <c r="L905" s="1026"/>
      <c r="M905" s="1026"/>
      <c r="N905" s="1026"/>
      <c r="O905" s="1026"/>
      <c r="P905" s="1026"/>
      <c r="Q905" s="1026"/>
      <c r="R905" s="1026"/>
      <c r="S905" s="1026"/>
      <c r="T905" s="1026"/>
      <c r="U905" s="1026"/>
      <c r="V905" s="1026"/>
      <c r="W905" s="1026"/>
      <c r="X905" s="1026"/>
      <c r="Y905" s="1026"/>
      <c r="Z905" s="1026"/>
    </row>
    <row r="906" spans="1:26">
      <c r="A906" s="1026"/>
      <c r="B906" s="1026"/>
      <c r="C906" s="1026"/>
      <c r="D906" s="1026"/>
      <c r="E906" s="1026"/>
      <c r="F906" s="1026"/>
      <c r="G906" s="1026"/>
      <c r="H906" s="1026"/>
      <c r="I906" s="1026"/>
      <c r="J906" s="1026"/>
      <c r="K906" s="1026"/>
      <c r="L906" s="1026"/>
      <c r="M906" s="1026"/>
      <c r="N906" s="1026"/>
      <c r="O906" s="1026"/>
      <c r="P906" s="1026"/>
      <c r="Q906" s="1026"/>
      <c r="R906" s="1026"/>
      <c r="S906" s="1026"/>
      <c r="T906" s="1026"/>
      <c r="U906" s="1026"/>
      <c r="V906" s="1026"/>
      <c r="W906" s="1026"/>
      <c r="X906" s="1026"/>
      <c r="Y906" s="1026"/>
      <c r="Z906" s="1026"/>
    </row>
    <row r="907" spans="1:26">
      <c r="A907" s="1026"/>
      <c r="B907" s="1026"/>
      <c r="C907" s="1026"/>
      <c r="D907" s="1026"/>
      <c r="E907" s="1026"/>
      <c r="F907" s="1026"/>
      <c r="G907" s="1026"/>
      <c r="H907" s="1026"/>
      <c r="I907" s="1026"/>
      <c r="J907" s="1026"/>
      <c r="K907" s="1026"/>
      <c r="L907" s="1026"/>
      <c r="M907" s="1026"/>
      <c r="N907" s="1026"/>
      <c r="O907" s="1026"/>
      <c r="P907" s="1026"/>
      <c r="Q907" s="1026"/>
      <c r="R907" s="1026"/>
      <c r="S907" s="1026"/>
      <c r="T907" s="1026"/>
      <c r="U907" s="1026"/>
      <c r="V907" s="1026"/>
      <c r="W907" s="1026"/>
      <c r="X907" s="1026"/>
      <c r="Y907" s="1026"/>
      <c r="Z907" s="1026"/>
    </row>
    <row r="908" spans="1:26">
      <c r="A908" s="1026"/>
      <c r="B908" s="1026"/>
      <c r="C908" s="1026"/>
      <c r="D908" s="1026"/>
      <c r="E908" s="1026"/>
      <c r="F908" s="1026"/>
      <c r="G908" s="1026"/>
      <c r="H908" s="1026"/>
      <c r="I908" s="1026"/>
      <c r="J908" s="1026"/>
      <c r="K908" s="1026"/>
      <c r="L908" s="1026"/>
      <c r="M908" s="1026"/>
      <c r="N908" s="1026"/>
      <c r="O908" s="1026"/>
      <c r="P908" s="1026"/>
      <c r="Q908" s="1026"/>
      <c r="R908" s="1026"/>
      <c r="S908" s="1026"/>
      <c r="T908" s="1026"/>
      <c r="U908" s="1026"/>
      <c r="V908" s="1026"/>
      <c r="W908" s="1026"/>
      <c r="X908" s="1026"/>
      <c r="Y908" s="1026"/>
      <c r="Z908" s="1026"/>
    </row>
    <row r="909" spans="1:26">
      <c r="A909" s="1026"/>
      <c r="B909" s="1026"/>
      <c r="C909" s="1026"/>
      <c r="D909" s="1026"/>
      <c r="E909" s="1026"/>
      <c r="F909" s="1026"/>
      <c r="G909" s="1026"/>
      <c r="H909" s="1026"/>
      <c r="I909" s="1026"/>
      <c r="J909" s="1026"/>
      <c r="K909" s="1026"/>
      <c r="L909" s="1026"/>
      <c r="M909" s="1026"/>
      <c r="N909" s="1026"/>
      <c r="O909" s="1026"/>
      <c r="P909" s="1026"/>
      <c r="Q909" s="1026"/>
      <c r="R909" s="1026"/>
      <c r="S909" s="1026"/>
      <c r="T909" s="1026"/>
      <c r="U909" s="1026"/>
      <c r="V909" s="1026"/>
      <c r="W909" s="1026"/>
      <c r="X909" s="1026"/>
      <c r="Y909" s="1026"/>
      <c r="Z909" s="1026"/>
    </row>
    <row r="910" spans="1:26">
      <c r="A910" s="1026"/>
      <c r="B910" s="1026"/>
      <c r="C910" s="1026"/>
      <c r="D910" s="1026"/>
      <c r="E910" s="1026"/>
      <c r="F910" s="1026"/>
      <c r="G910" s="1026"/>
      <c r="H910" s="1026"/>
      <c r="I910" s="1026"/>
      <c r="J910" s="1026"/>
      <c r="K910" s="1026"/>
      <c r="L910" s="1026"/>
      <c r="M910" s="1026"/>
      <c r="N910" s="1026"/>
      <c r="O910" s="1026"/>
      <c r="P910" s="1026"/>
      <c r="Q910" s="1026"/>
      <c r="R910" s="1026"/>
      <c r="S910" s="1026"/>
      <c r="T910" s="1026"/>
      <c r="U910" s="1026"/>
      <c r="V910" s="1026"/>
      <c r="W910" s="1026"/>
      <c r="X910" s="1026"/>
      <c r="Y910" s="1026"/>
      <c r="Z910" s="1026"/>
    </row>
    <row r="911" spans="1:26">
      <c r="A911" s="1026"/>
      <c r="B911" s="1026"/>
      <c r="C911" s="1026"/>
      <c r="D911" s="1026"/>
      <c r="E911" s="1026"/>
      <c r="F911" s="1026"/>
      <c r="G911" s="1026"/>
      <c r="H911" s="1026"/>
      <c r="I911" s="1026"/>
      <c r="J911" s="1026"/>
      <c r="K911" s="1026"/>
      <c r="L911" s="1026"/>
      <c r="M911" s="1026"/>
      <c r="N911" s="1026"/>
      <c r="O911" s="1026"/>
      <c r="P911" s="1026"/>
      <c r="Q911" s="1026"/>
      <c r="R911" s="1026"/>
      <c r="S911" s="1026"/>
      <c r="T911" s="1026"/>
      <c r="U911" s="1026"/>
      <c r="V911" s="1026"/>
      <c r="W911" s="1026"/>
      <c r="X911" s="1026"/>
      <c r="Y911" s="1026"/>
      <c r="Z911" s="1026"/>
    </row>
    <row r="912" spans="1:26">
      <c r="A912" s="1026"/>
      <c r="B912" s="1026"/>
      <c r="C912" s="1026"/>
      <c r="D912" s="1026"/>
      <c r="E912" s="1026"/>
      <c r="F912" s="1026"/>
      <c r="G912" s="1026"/>
      <c r="H912" s="1026"/>
      <c r="I912" s="1026"/>
      <c r="J912" s="1026"/>
      <c r="K912" s="1026"/>
      <c r="L912" s="1026"/>
      <c r="M912" s="1026"/>
      <c r="N912" s="1026"/>
      <c r="O912" s="1026"/>
      <c r="P912" s="1026"/>
      <c r="Q912" s="1026"/>
      <c r="R912" s="1026"/>
      <c r="S912" s="1026"/>
      <c r="T912" s="1026"/>
      <c r="U912" s="1026"/>
      <c r="V912" s="1026"/>
      <c r="W912" s="1026"/>
      <c r="X912" s="1026"/>
      <c r="Y912" s="1026"/>
      <c r="Z912" s="1026"/>
    </row>
    <row r="913" spans="1:26">
      <c r="A913" s="1026"/>
      <c r="B913" s="1026"/>
      <c r="C913" s="1026"/>
      <c r="D913" s="1026"/>
      <c r="E913" s="1026"/>
      <c r="F913" s="1026"/>
      <c r="G913" s="1026"/>
      <c r="H913" s="1026"/>
      <c r="I913" s="1026"/>
      <c r="J913" s="1026"/>
      <c r="K913" s="1026"/>
      <c r="L913" s="1026"/>
      <c r="M913" s="1026"/>
      <c r="N913" s="1026"/>
      <c r="O913" s="1026"/>
      <c r="P913" s="1026"/>
      <c r="Q913" s="1026"/>
      <c r="R913" s="1026"/>
      <c r="S913" s="1026"/>
      <c r="T913" s="1026"/>
      <c r="U913" s="1026"/>
      <c r="V913" s="1026"/>
      <c r="W913" s="1026"/>
      <c r="X913" s="1026"/>
      <c r="Y913" s="1026"/>
      <c r="Z913" s="1026"/>
    </row>
    <row r="914" spans="1:26">
      <c r="A914" s="1026"/>
      <c r="B914" s="1026"/>
      <c r="C914" s="1026"/>
      <c r="D914" s="1026"/>
      <c r="E914" s="1026"/>
      <c r="F914" s="1026"/>
      <c r="G914" s="1026"/>
      <c r="H914" s="1026"/>
      <c r="I914" s="1026"/>
      <c r="J914" s="1026"/>
      <c r="K914" s="1026"/>
      <c r="L914" s="1026"/>
      <c r="M914" s="1026"/>
      <c r="N914" s="1026"/>
      <c r="O914" s="1026"/>
      <c r="P914" s="1026"/>
      <c r="Q914" s="1026"/>
      <c r="R914" s="1026"/>
      <c r="S914" s="1026"/>
      <c r="T914" s="1026"/>
      <c r="U914" s="1026"/>
      <c r="V914" s="1026"/>
      <c r="W914" s="1026"/>
      <c r="X914" s="1026"/>
      <c r="Y914" s="1026"/>
      <c r="Z914" s="1026"/>
    </row>
    <row r="915" spans="1:26">
      <c r="A915" s="1026"/>
      <c r="B915" s="1026"/>
      <c r="C915" s="1026"/>
      <c r="D915" s="1026"/>
      <c r="E915" s="1026"/>
      <c r="F915" s="1026"/>
      <c r="G915" s="1026"/>
      <c r="H915" s="1026"/>
      <c r="I915" s="1026"/>
      <c r="J915" s="1026"/>
      <c r="K915" s="1026"/>
      <c r="L915" s="1026"/>
      <c r="M915" s="1026"/>
      <c r="N915" s="1026"/>
      <c r="O915" s="1026"/>
      <c r="P915" s="1026"/>
      <c r="Q915" s="1026"/>
      <c r="R915" s="1026"/>
      <c r="S915" s="1026"/>
      <c r="T915" s="1026"/>
      <c r="U915" s="1026"/>
      <c r="V915" s="1026"/>
      <c r="W915" s="1026"/>
      <c r="X915" s="1026"/>
      <c r="Y915" s="1026"/>
      <c r="Z915" s="1026"/>
    </row>
    <row r="916" spans="1:26">
      <c r="A916" s="1026"/>
      <c r="B916" s="1026"/>
      <c r="C916" s="1026"/>
      <c r="D916" s="1026"/>
      <c r="E916" s="1026"/>
      <c r="F916" s="1026"/>
      <c r="G916" s="1026"/>
      <c r="H916" s="1026"/>
      <c r="I916" s="1026"/>
      <c r="J916" s="1026"/>
      <c r="K916" s="1026"/>
      <c r="L916" s="1026"/>
      <c r="M916" s="1026"/>
      <c r="N916" s="1026"/>
      <c r="O916" s="1026"/>
      <c r="P916" s="1026"/>
      <c r="Q916" s="1026"/>
      <c r="R916" s="1026"/>
      <c r="S916" s="1026"/>
      <c r="T916" s="1026"/>
      <c r="U916" s="1026"/>
      <c r="V916" s="1026"/>
      <c r="W916" s="1026"/>
      <c r="X916" s="1026"/>
      <c r="Y916" s="1026"/>
      <c r="Z916" s="1026"/>
    </row>
    <row r="917" spans="1:26">
      <c r="A917" s="1026"/>
      <c r="B917" s="1026"/>
      <c r="C917" s="1026"/>
      <c r="D917" s="1026"/>
      <c r="E917" s="1026"/>
      <c r="F917" s="1026"/>
      <c r="G917" s="1026"/>
      <c r="H917" s="1026"/>
      <c r="I917" s="1026"/>
      <c r="J917" s="1026"/>
      <c r="K917" s="1026"/>
      <c r="L917" s="1026"/>
      <c r="M917" s="1026"/>
      <c r="N917" s="1026"/>
      <c r="O917" s="1026"/>
      <c r="P917" s="1026"/>
      <c r="Q917" s="1026"/>
      <c r="R917" s="1026"/>
      <c r="S917" s="1026"/>
      <c r="T917" s="1026"/>
      <c r="U917" s="1026"/>
      <c r="V917" s="1026"/>
      <c r="W917" s="1026"/>
      <c r="X917" s="1026"/>
      <c r="Y917" s="1026"/>
      <c r="Z917" s="1026"/>
    </row>
    <row r="918" spans="1:26">
      <c r="A918" s="1026"/>
      <c r="B918" s="1026"/>
      <c r="C918" s="1026"/>
      <c r="D918" s="1026"/>
      <c r="E918" s="1026"/>
      <c r="F918" s="1026"/>
      <c r="G918" s="1026"/>
      <c r="H918" s="1026"/>
      <c r="I918" s="1026"/>
      <c r="J918" s="1026"/>
      <c r="K918" s="1026"/>
      <c r="L918" s="1026"/>
      <c r="M918" s="1026"/>
      <c r="N918" s="1026"/>
      <c r="O918" s="1026"/>
      <c r="P918" s="1026"/>
      <c r="Q918" s="1026"/>
      <c r="R918" s="1026"/>
      <c r="S918" s="1026"/>
      <c r="T918" s="1026"/>
      <c r="U918" s="1026"/>
      <c r="V918" s="1026"/>
      <c r="W918" s="1026"/>
      <c r="X918" s="1026"/>
      <c r="Y918" s="1026"/>
      <c r="Z918" s="1026"/>
    </row>
    <row r="919" spans="1:26">
      <c r="A919" s="1026"/>
      <c r="B919" s="1026"/>
      <c r="C919" s="1026"/>
      <c r="D919" s="1026"/>
      <c r="E919" s="1026"/>
      <c r="F919" s="1026"/>
      <c r="G919" s="1026"/>
      <c r="H919" s="1026"/>
      <c r="I919" s="1026"/>
      <c r="J919" s="1026"/>
      <c r="K919" s="1026"/>
      <c r="L919" s="1026"/>
      <c r="M919" s="1026"/>
      <c r="N919" s="1026"/>
      <c r="O919" s="1026"/>
      <c r="P919" s="1026"/>
      <c r="Q919" s="1026"/>
      <c r="R919" s="1026"/>
      <c r="S919" s="1026"/>
      <c r="T919" s="1026"/>
      <c r="U919" s="1026"/>
      <c r="V919" s="1026"/>
      <c r="W919" s="1026"/>
      <c r="X919" s="1026"/>
      <c r="Y919" s="1026"/>
      <c r="Z919" s="1026"/>
    </row>
    <row r="920" spans="1:26">
      <c r="A920" s="1026"/>
      <c r="B920" s="1026"/>
      <c r="C920" s="1026"/>
      <c r="D920" s="1026"/>
      <c r="E920" s="1026"/>
      <c r="F920" s="1026"/>
      <c r="G920" s="1026"/>
      <c r="H920" s="1026"/>
      <c r="I920" s="1026"/>
      <c r="J920" s="1026"/>
      <c r="K920" s="1026"/>
      <c r="L920" s="1026"/>
      <c r="M920" s="1026"/>
      <c r="N920" s="1026"/>
      <c r="O920" s="1026"/>
      <c r="P920" s="1026"/>
      <c r="Q920" s="1026"/>
      <c r="R920" s="1026"/>
      <c r="S920" s="1026"/>
      <c r="T920" s="1026"/>
      <c r="U920" s="1026"/>
      <c r="V920" s="1026"/>
      <c r="W920" s="1026"/>
      <c r="X920" s="1026"/>
      <c r="Y920" s="1026"/>
      <c r="Z920" s="1026"/>
    </row>
    <row r="921" spans="1:26">
      <c r="A921" s="1026"/>
      <c r="B921" s="1026"/>
      <c r="C921" s="1026"/>
      <c r="D921" s="1026"/>
      <c r="E921" s="1026"/>
      <c r="F921" s="1026"/>
      <c r="G921" s="1026"/>
      <c r="H921" s="1026"/>
      <c r="I921" s="1026"/>
      <c r="J921" s="1026"/>
      <c r="K921" s="1026"/>
      <c r="L921" s="1026"/>
      <c r="M921" s="1026"/>
      <c r="N921" s="1026"/>
      <c r="O921" s="1026"/>
      <c r="P921" s="1026"/>
      <c r="Q921" s="1026"/>
      <c r="R921" s="1026"/>
      <c r="S921" s="1026"/>
      <c r="T921" s="1026"/>
      <c r="U921" s="1026"/>
      <c r="V921" s="1026"/>
      <c r="W921" s="1026"/>
      <c r="X921" s="1026"/>
      <c r="Y921" s="1026"/>
      <c r="Z921" s="1026"/>
    </row>
    <row r="922" spans="1:26">
      <c r="A922" s="1026"/>
      <c r="B922" s="1026"/>
      <c r="C922" s="1026"/>
      <c r="D922" s="1026"/>
      <c r="E922" s="1026"/>
      <c r="F922" s="1026"/>
      <c r="G922" s="1026"/>
      <c r="H922" s="1026"/>
      <c r="I922" s="1026"/>
      <c r="J922" s="1026"/>
      <c r="K922" s="1026"/>
      <c r="L922" s="1026"/>
      <c r="M922" s="1026"/>
      <c r="N922" s="1026"/>
      <c r="O922" s="1026"/>
      <c r="P922" s="1026"/>
      <c r="Q922" s="1026"/>
      <c r="R922" s="1026"/>
      <c r="S922" s="1026"/>
      <c r="T922" s="1026"/>
      <c r="U922" s="1026"/>
      <c r="V922" s="1026"/>
      <c r="W922" s="1026"/>
      <c r="X922" s="1026"/>
      <c r="Y922" s="1026"/>
      <c r="Z922" s="1026"/>
    </row>
    <row r="923" spans="1:26">
      <c r="A923" s="1026"/>
      <c r="B923" s="1026"/>
      <c r="C923" s="1026"/>
      <c r="D923" s="1026"/>
      <c r="E923" s="1026"/>
      <c r="F923" s="1026"/>
      <c r="G923" s="1026"/>
      <c r="H923" s="1026"/>
      <c r="I923" s="1026"/>
      <c r="J923" s="1026"/>
      <c r="K923" s="1026"/>
      <c r="L923" s="1026"/>
      <c r="M923" s="1026"/>
      <c r="N923" s="1026"/>
      <c r="O923" s="1026"/>
      <c r="P923" s="1026"/>
      <c r="Q923" s="1026"/>
      <c r="R923" s="1026"/>
      <c r="S923" s="1026"/>
      <c r="T923" s="1026"/>
      <c r="U923" s="1026"/>
      <c r="V923" s="1026"/>
      <c r="W923" s="1026"/>
      <c r="X923" s="1026"/>
      <c r="Y923" s="1026"/>
      <c r="Z923" s="1026"/>
    </row>
    <row r="924" spans="1:26">
      <c r="A924" s="1026"/>
      <c r="B924" s="1026"/>
      <c r="C924" s="1026"/>
      <c r="D924" s="1026"/>
      <c r="E924" s="1026"/>
      <c r="F924" s="1026"/>
      <c r="G924" s="1026"/>
      <c r="H924" s="1026"/>
      <c r="I924" s="1026"/>
      <c r="J924" s="1026"/>
      <c r="K924" s="1026"/>
      <c r="L924" s="1026"/>
      <c r="M924" s="1026"/>
      <c r="N924" s="1026"/>
      <c r="O924" s="1026"/>
      <c r="P924" s="1026"/>
      <c r="Q924" s="1026"/>
      <c r="R924" s="1026"/>
      <c r="S924" s="1026"/>
      <c r="T924" s="1026"/>
      <c r="U924" s="1026"/>
      <c r="V924" s="1026"/>
      <c r="W924" s="1026"/>
      <c r="X924" s="1026"/>
      <c r="Y924" s="1026"/>
      <c r="Z924" s="1026"/>
    </row>
    <row r="925" spans="1:26">
      <c r="A925" s="1026"/>
      <c r="B925" s="1026"/>
      <c r="C925" s="1026"/>
      <c r="D925" s="1026"/>
      <c r="E925" s="1026"/>
      <c r="F925" s="1026"/>
      <c r="G925" s="1026"/>
      <c r="H925" s="1026"/>
      <c r="I925" s="1026"/>
      <c r="J925" s="1026"/>
      <c r="K925" s="1026"/>
      <c r="L925" s="1026"/>
      <c r="M925" s="1026"/>
      <c r="N925" s="1026"/>
      <c r="O925" s="1026"/>
      <c r="P925" s="1026"/>
      <c r="Q925" s="1026"/>
      <c r="R925" s="1026"/>
      <c r="S925" s="1026"/>
      <c r="T925" s="1026"/>
      <c r="U925" s="1026"/>
      <c r="V925" s="1026"/>
      <c r="W925" s="1026"/>
      <c r="X925" s="1026"/>
      <c r="Y925" s="1026"/>
      <c r="Z925" s="1026"/>
    </row>
    <row r="926" spans="1:26">
      <c r="A926" s="1026"/>
      <c r="B926" s="1026"/>
      <c r="C926" s="1026"/>
      <c r="D926" s="1026"/>
      <c r="E926" s="1026"/>
      <c r="F926" s="1026"/>
      <c r="G926" s="1026"/>
      <c r="H926" s="1026"/>
      <c r="I926" s="1026"/>
      <c r="J926" s="1026"/>
      <c r="K926" s="1026"/>
      <c r="L926" s="1026"/>
      <c r="M926" s="1026"/>
      <c r="N926" s="1026"/>
      <c r="O926" s="1026"/>
      <c r="P926" s="1026"/>
      <c r="Q926" s="1026"/>
      <c r="R926" s="1026"/>
      <c r="S926" s="1026"/>
      <c r="T926" s="1026"/>
      <c r="U926" s="1026"/>
      <c r="V926" s="1026"/>
      <c r="W926" s="1026"/>
      <c r="X926" s="1026"/>
      <c r="Y926" s="1026"/>
      <c r="Z926" s="1026"/>
    </row>
    <row r="927" spans="1:26">
      <c r="A927" s="1026"/>
      <c r="B927" s="1026"/>
      <c r="C927" s="1026"/>
      <c r="D927" s="1026"/>
      <c r="E927" s="1026"/>
      <c r="F927" s="1026"/>
      <c r="G927" s="1026"/>
      <c r="H927" s="1026"/>
      <c r="I927" s="1026"/>
      <c r="J927" s="1026"/>
      <c r="K927" s="1026"/>
      <c r="L927" s="1026"/>
      <c r="M927" s="1026"/>
      <c r="N927" s="1026"/>
      <c r="O927" s="1026"/>
      <c r="P927" s="1026"/>
      <c r="Q927" s="1026"/>
      <c r="R927" s="1026"/>
      <c r="S927" s="1026"/>
      <c r="T927" s="1026"/>
      <c r="U927" s="1026"/>
      <c r="V927" s="1026"/>
      <c r="W927" s="1026"/>
      <c r="X927" s="1026"/>
      <c r="Y927" s="1026"/>
      <c r="Z927" s="1026"/>
    </row>
    <row r="928" spans="1:26">
      <c r="A928" s="1026"/>
      <c r="B928" s="1026"/>
      <c r="C928" s="1026"/>
      <c r="D928" s="1026"/>
      <c r="E928" s="1026"/>
      <c r="F928" s="1026"/>
      <c r="G928" s="1026"/>
      <c r="H928" s="1026"/>
      <c r="I928" s="1026"/>
      <c r="J928" s="1026"/>
      <c r="K928" s="1026"/>
      <c r="L928" s="1026"/>
      <c r="M928" s="1026"/>
      <c r="N928" s="1026"/>
      <c r="O928" s="1026"/>
      <c r="P928" s="1026"/>
      <c r="Q928" s="1026"/>
      <c r="R928" s="1026"/>
      <c r="S928" s="1026"/>
      <c r="T928" s="1026"/>
      <c r="U928" s="1026"/>
      <c r="V928" s="1026"/>
      <c r="W928" s="1026"/>
      <c r="X928" s="1026"/>
      <c r="Y928" s="1026"/>
      <c r="Z928" s="1026"/>
    </row>
    <row r="929" spans="1:26">
      <c r="A929" s="1026"/>
      <c r="B929" s="1026"/>
      <c r="C929" s="1026"/>
      <c r="D929" s="1026"/>
      <c r="E929" s="1026"/>
      <c r="F929" s="1026"/>
      <c r="G929" s="1026"/>
      <c r="H929" s="1026"/>
      <c r="I929" s="1026"/>
      <c r="J929" s="1026"/>
      <c r="K929" s="1026"/>
      <c r="L929" s="1026"/>
      <c r="M929" s="1026"/>
      <c r="N929" s="1026"/>
      <c r="O929" s="1026"/>
      <c r="P929" s="1026"/>
      <c r="Q929" s="1026"/>
      <c r="R929" s="1026"/>
      <c r="S929" s="1026"/>
      <c r="T929" s="1026"/>
      <c r="U929" s="1026"/>
      <c r="V929" s="1026"/>
      <c r="W929" s="1026"/>
      <c r="X929" s="1026"/>
      <c r="Y929" s="1026"/>
      <c r="Z929" s="1026"/>
    </row>
    <row r="930" spans="1:26">
      <c r="A930" s="1026"/>
      <c r="B930" s="1026"/>
      <c r="C930" s="1026"/>
      <c r="D930" s="1026"/>
      <c r="E930" s="1026"/>
      <c r="F930" s="1026"/>
      <c r="G930" s="1026"/>
      <c r="H930" s="1026"/>
      <c r="I930" s="1026"/>
      <c r="J930" s="1026"/>
      <c r="K930" s="1026"/>
      <c r="L930" s="1026"/>
      <c r="M930" s="1026"/>
      <c r="N930" s="1026"/>
      <c r="O930" s="1026"/>
      <c r="P930" s="1026"/>
      <c r="Q930" s="1026"/>
      <c r="R930" s="1026"/>
      <c r="S930" s="1026"/>
      <c r="T930" s="1026"/>
      <c r="U930" s="1026"/>
      <c r="V930" s="1026"/>
      <c r="W930" s="1026"/>
      <c r="X930" s="1026"/>
      <c r="Y930" s="1026"/>
      <c r="Z930" s="1026"/>
    </row>
    <row r="931" spans="1:26">
      <c r="A931" s="1026"/>
      <c r="B931" s="1026"/>
      <c r="C931" s="1026"/>
      <c r="D931" s="1026"/>
      <c r="E931" s="1026"/>
      <c r="F931" s="1026"/>
      <c r="G931" s="1026"/>
      <c r="H931" s="1026"/>
      <c r="I931" s="1026"/>
      <c r="J931" s="1026"/>
      <c r="K931" s="1026"/>
      <c r="L931" s="1026"/>
      <c r="M931" s="1026"/>
      <c r="N931" s="1026"/>
      <c r="O931" s="1026"/>
      <c r="P931" s="1026"/>
      <c r="Q931" s="1026"/>
      <c r="R931" s="1026"/>
      <c r="S931" s="1026"/>
      <c r="T931" s="1026"/>
      <c r="U931" s="1026"/>
      <c r="V931" s="1026"/>
      <c r="W931" s="1026"/>
      <c r="X931" s="1026"/>
      <c r="Y931" s="1026"/>
      <c r="Z931" s="1026"/>
    </row>
    <row r="932" spans="1:26">
      <c r="A932" s="1026"/>
      <c r="B932" s="1026"/>
      <c r="C932" s="1026"/>
      <c r="D932" s="1026"/>
      <c r="E932" s="1026"/>
      <c r="F932" s="1026"/>
      <c r="G932" s="1026"/>
      <c r="H932" s="1026"/>
      <c r="I932" s="1026"/>
      <c r="J932" s="1026"/>
      <c r="K932" s="1026"/>
      <c r="L932" s="1026"/>
      <c r="M932" s="1026"/>
      <c r="N932" s="1026"/>
      <c r="O932" s="1026"/>
      <c r="P932" s="1026"/>
      <c r="Q932" s="1026"/>
      <c r="R932" s="1026"/>
      <c r="S932" s="1026"/>
      <c r="T932" s="1026"/>
      <c r="U932" s="1026"/>
      <c r="V932" s="1026"/>
      <c r="W932" s="1026"/>
      <c r="X932" s="1026"/>
      <c r="Y932" s="1026"/>
      <c r="Z932" s="1026"/>
    </row>
    <row r="933" spans="1:26">
      <c r="A933" s="1026"/>
      <c r="B933" s="1026"/>
      <c r="C933" s="1026"/>
      <c r="D933" s="1026"/>
      <c r="E933" s="1026"/>
      <c r="F933" s="1026"/>
      <c r="G933" s="1026"/>
      <c r="H933" s="1026"/>
      <c r="I933" s="1026"/>
      <c r="J933" s="1026"/>
      <c r="K933" s="1026"/>
      <c r="L933" s="1026"/>
      <c r="M933" s="1026"/>
      <c r="N933" s="1026"/>
      <c r="O933" s="1026"/>
      <c r="P933" s="1026"/>
      <c r="Q933" s="1026"/>
      <c r="R933" s="1026"/>
      <c r="S933" s="1026"/>
      <c r="T933" s="1026"/>
      <c r="U933" s="1026"/>
      <c r="V933" s="1026"/>
      <c r="W933" s="1026"/>
      <c r="X933" s="1026"/>
      <c r="Y933" s="1026"/>
      <c r="Z933" s="1026"/>
    </row>
    <row r="934" spans="1:26">
      <c r="A934" s="1026"/>
      <c r="B934" s="1026"/>
      <c r="C934" s="1026"/>
      <c r="D934" s="1026"/>
      <c r="E934" s="1026"/>
      <c r="F934" s="1026"/>
      <c r="G934" s="1026"/>
      <c r="H934" s="1026"/>
      <c r="I934" s="1026"/>
      <c r="J934" s="1026"/>
      <c r="K934" s="1026"/>
      <c r="L934" s="1026"/>
      <c r="M934" s="1026"/>
      <c r="N934" s="1026"/>
      <c r="O934" s="1026"/>
      <c r="P934" s="1026"/>
      <c r="Q934" s="1026"/>
      <c r="R934" s="1026"/>
      <c r="S934" s="1026"/>
      <c r="T934" s="1026"/>
      <c r="U934" s="1026"/>
      <c r="V934" s="1026"/>
      <c r="W934" s="1026"/>
      <c r="X934" s="1026"/>
      <c r="Y934" s="1026"/>
      <c r="Z934" s="1026"/>
    </row>
    <row r="935" spans="1:26">
      <c r="A935" s="1026"/>
      <c r="B935" s="1026"/>
      <c r="C935" s="1026"/>
      <c r="D935" s="1026"/>
      <c r="E935" s="1026"/>
      <c r="F935" s="1026"/>
      <c r="G935" s="1026"/>
      <c r="H935" s="1026"/>
      <c r="I935" s="1026"/>
      <c r="J935" s="1026"/>
      <c r="K935" s="1026"/>
      <c r="L935" s="1026"/>
      <c r="M935" s="1026"/>
      <c r="N935" s="1026"/>
      <c r="O935" s="1026"/>
      <c r="P935" s="1026"/>
      <c r="Q935" s="1026"/>
      <c r="R935" s="1026"/>
      <c r="S935" s="1026"/>
      <c r="T935" s="1026"/>
      <c r="U935" s="1026"/>
      <c r="V935" s="1026"/>
      <c r="W935" s="1026"/>
      <c r="X935" s="1026"/>
      <c r="Y935" s="1026"/>
      <c r="Z935" s="1026"/>
    </row>
    <row r="936" spans="1:26">
      <c r="A936" s="1026"/>
      <c r="B936" s="1026"/>
      <c r="C936" s="1026"/>
      <c r="D936" s="1026"/>
      <c r="E936" s="1026"/>
      <c r="F936" s="1026"/>
      <c r="G936" s="1026"/>
      <c r="H936" s="1026"/>
      <c r="I936" s="1026"/>
      <c r="J936" s="1026"/>
      <c r="K936" s="1026"/>
      <c r="L936" s="1026"/>
      <c r="M936" s="1026"/>
      <c r="N936" s="1026"/>
      <c r="O936" s="1026"/>
      <c r="P936" s="1026"/>
      <c r="Q936" s="1026"/>
      <c r="R936" s="1026"/>
      <c r="S936" s="1026"/>
      <c r="T936" s="1026"/>
      <c r="U936" s="1026"/>
      <c r="V936" s="1026"/>
      <c r="W936" s="1026"/>
      <c r="X936" s="1026"/>
      <c r="Y936" s="1026"/>
      <c r="Z936" s="1026"/>
    </row>
    <row r="937" spans="1:26">
      <c r="A937" s="1026"/>
      <c r="B937" s="1026"/>
      <c r="C937" s="1026"/>
      <c r="D937" s="1026"/>
      <c r="E937" s="1026"/>
      <c r="F937" s="1026"/>
      <c r="G937" s="1026"/>
      <c r="H937" s="1026"/>
      <c r="I937" s="1026"/>
      <c r="J937" s="1026"/>
      <c r="K937" s="1026"/>
      <c r="L937" s="1026"/>
      <c r="M937" s="1026"/>
      <c r="N937" s="1026"/>
      <c r="O937" s="1026"/>
      <c r="P937" s="1026"/>
      <c r="Q937" s="1026"/>
      <c r="R937" s="1026"/>
      <c r="S937" s="1026"/>
      <c r="T937" s="1026"/>
      <c r="U937" s="1026"/>
      <c r="V937" s="1026"/>
      <c r="W937" s="1026"/>
      <c r="X937" s="1026"/>
      <c r="Y937" s="1026"/>
      <c r="Z937" s="1026"/>
    </row>
    <row r="938" spans="1:26">
      <c r="A938" s="1026"/>
      <c r="B938" s="1026"/>
      <c r="C938" s="1026"/>
      <c r="D938" s="1026"/>
      <c r="E938" s="1026"/>
      <c r="F938" s="1026"/>
      <c r="G938" s="1026"/>
      <c r="H938" s="1026"/>
      <c r="I938" s="1026"/>
      <c r="J938" s="1026"/>
      <c r="K938" s="1026"/>
      <c r="L938" s="1026"/>
      <c r="M938" s="1026"/>
      <c r="N938" s="1026"/>
      <c r="O938" s="1026"/>
      <c r="P938" s="1026"/>
      <c r="Q938" s="1026"/>
      <c r="R938" s="1026"/>
      <c r="S938" s="1026"/>
      <c r="T938" s="1026"/>
      <c r="U938" s="1026"/>
      <c r="V938" s="1026"/>
      <c r="W938" s="1026"/>
      <c r="X938" s="1026"/>
      <c r="Y938" s="1026"/>
      <c r="Z938" s="1026"/>
    </row>
    <row r="939" spans="1:26">
      <c r="A939" s="1026"/>
      <c r="B939" s="1026"/>
      <c r="C939" s="1026"/>
      <c r="D939" s="1026"/>
      <c r="E939" s="1026"/>
      <c r="F939" s="1026"/>
      <c r="G939" s="1026"/>
      <c r="H939" s="1026"/>
      <c r="I939" s="1026"/>
      <c r="J939" s="1026"/>
      <c r="K939" s="1026"/>
      <c r="L939" s="1026"/>
      <c r="M939" s="1026"/>
      <c r="N939" s="1026"/>
      <c r="O939" s="1026"/>
      <c r="P939" s="1026"/>
      <c r="Q939" s="1026"/>
      <c r="R939" s="1026"/>
      <c r="S939" s="1026"/>
      <c r="T939" s="1026"/>
      <c r="U939" s="1026"/>
      <c r="V939" s="1026"/>
      <c r="W939" s="1026"/>
      <c r="X939" s="1026"/>
      <c r="Y939" s="1026"/>
      <c r="Z939" s="1026"/>
    </row>
    <row r="940" spans="1:26">
      <c r="A940" s="1026"/>
      <c r="B940" s="1026"/>
      <c r="C940" s="1026"/>
      <c r="D940" s="1026"/>
      <c r="E940" s="1026"/>
      <c r="F940" s="1026"/>
      <c r="G940" s="1026"/>
      <c r="H940" s="1026"/>
      <c r="I940" s="1026"/>
      <c r="J940" s="1026"/>
      <c r="K940" s="1026"/>
      <c r="L940" s="1026"/>
      <c r="M940" s="1026"/>
      <c r="N940" s="1026"/>
      <c r="O940" s="1026"/>
      <c r="P940" s="1026"/>
      <c r="Q940" s="1026"/>
      <c r="R940" s="1026"/>
      <c r="S940" s="1026"/>
      <c r="T940" s="1026"/>
      <c r="U940" s="1026"/>
      <c r="V940" s="1026"/>
      <c r="W940" s="1026"/>
      <c r="X940" s="1026"/>
      <c r="Y940" s="1026"/>
      <c r="Z940" s="1026"/>
    </row>
    <row r="941" spans="1:26">
      <c r="A941" s="1026"/>
      <c r="B941" s="1026"/>
      <c r="C941" s="1026"/>
      <c r="D941" s="1026"/>
      <c r="E941" s="1026"/>
      <c r="F941" s="1026"/>
      <c r="G941" s="1026"/>
      <c r="H941" s="1026"/>
      <c r="I941" s="1026"/>
      <c r="J941" s="1026"/>
      <c r="K941" s="1026"/>
      <c r="L941" s="1026"/>
      <c r="M941" s="1026"/>
      <c r="N941" s="1026"/>
      <c r="O941" s="1026"/>
      <c r="P941" s="1026"/>
      <c r="Q941" s="1026"/>
      <c r="R941" s="1026"/>
      <c r="S941" s="1026"/>
      <c r="T941" s="1026"/>
      <c r="U941" s="1026"/>
      <c r="V941" s="1026"/>
      <c r="W941" s="1026"/>
      <c r="X941" s="1026"/>
      <c r="Y941" s="1026"/>
      <c r="Z941" s="1026"/>
    </row>
    <row r="942" spans="1:26">
      <c r="A942" s="1026"/>
      <c r="B942" s="1026"/>
      <c r="C942" s="1026"/>
      <c r="D942" s="1026"/>
      <c r="E942" s="1026"/>
      <c r="F942" s="1026"/>
      <c r="G942" s="1026"/>
      <c r="H942" s="1026"/>
      <c r="I942" s="1026"/>
      <c r="J942" s="1026"/>
      <c r="K942" s="1026"/>
      <c r="L942" s="1026"/>
      <c r="M942" s="1026"/>
      <c r="N942" s="1026"/>
      <c r="O942" s="1026"/>
      <c r="P942" s="1026"/>
      <c r="Q942" s="1026"/>
      <c r="R942" s="1026"/>
      <c r="S942" s="1026"/>
      <c r="T942" s="1026"/>
      <c r="U942" s="1026"/>
      <c r="V942" s="1026"/>
      <c r="W942" s="1026"/>
      <c r="X942" s="1026"/>
      <c r="Y942" s="1026"/>
      <c r="Z942" s="1026"/>
    </row>
    <row r="943" spans="1:26">
      <c r="A943" s="1026"/>
      <c r="B943" s="1026"/>
      <c r="C943" s="1026"/>
      <c r="D943" s="1026"/>
      <c r="E943" s="1026"/>
      <c r="F943" s="1026"/>
      <c r="G943" s="1026"/>
      <c r="H943" s="1026"/>
      <c r="I943" s="1026"/>
      <c r="J943" s="1026"/>
      <c r="K943" s="1026"/>
      <c r="L943" s="1026"/>
      <c r="M943" s="1026"/>
      <c r="N943" s="1026"/>
      <c r="O943" s="1026"/>
      <c r="P943" s="1026"/>
      <c r="Q943" s="1026"/>
      <c r="R943" s="1026"/>
      <c r="S943" s="1026"/>
      <c r="T943" s="1026"/>
      <c r="U943" s="1026"/>
      <c r="V943" s="1026"/>
      <c r="W943" s="1026"/>
      <c r="X943" s="1026"/>
      <c r="Y943" s="1026"/>
      <c r="Z943" s="1026"/>
    </row>
    <row r="944" spans="1:26">
      <c r="A944" s="1026"/>
      <c r="B944" s="1026"/>
      <c r="C944" s="1026"/>
      <c r="D944" s="1026"/>
      <c r="E944" s="1026"/>
      <c r="F944" s="1026"/>
      <c r="G944" s="1026"/>
      <c r="H944" s="1026"/>
      <c r="I944" s="1026"/>
      <c r="J944" s="1026"/>
      <c r="K944" s="1026"/>
      <c r="L944" s="1026"/>
      <c r="M944" s="1026"/>
      <c r="N944" s="1026"/>
      <c r="O944" s="1026"/>
      <c r="P944" s="1026"/>
      <c r="Q944" s="1026"/>
      <c r="R944" s="1026"/>
      <c r="S944" s="1026"/>
      <c r="T944" s="1026"/>
      <c r="U944" s="1026"/>
      <c r="V944" s="1026"/>
      <c r="W944" s="1026"/>
      <c r="X944" s="1026"/>
      <c r="Y944" s="1026"/>
      <c r="Z944" s="1026"/>
    </row>
    <row r="945" spans="1:26">
      <c r="A945" s="1026"/>
      <c r="B945" s="1026"/>
      <c r="C945" s="1026"/>
      <c r="D945" s="1026"/>
      <c r="E945" s="1026"/>
      <c r="F945" s="1026"/>
      <c r="G945" s="1026"/>
      <c r="H945" s="1026"/>
      <c r="I945" s="1026"/>
      <c r="J945" s="1026"/>
      <c r="K945" s="1026"/>
      <c r="L945" s="1026"/>
      <c r="M945" s="1026"/>
      <c r="N945" s="1026"/>
      <c r="O945" s="1026"/>
      <c r="P945" s="1026"/>
      <c r="Q945" s="1026"/>
      <c r="R945" s="1026"/>
      <c r="S945" s="1026"/>
      <c r="T945" s="1026"/>
      <c r="U945" s="1026"/>
      <c r="V945" s="1026"/>
      <c r="W945" s="1026"/>
      <c r="X945" s="1026"/>
      <c r="Y945" s="1026"/>
      <c r="Z945" s="1026"/>
    </row>
    <row r="946" spans="1:26">
      <c r="A946" s="1026"/>
      <c r="B946" s="1026"/>
      <c r="C946" s="1026"/>
      <c r="D946" s="1026"/>
      <c r="E946" s="1026"/>
      <c r="F946" s="1026"/>
      <c r="G946" s="1026"/>
      <c r="H946" s="1026"/>
      <c r="I946" s="1026"/>
      <c r="J946" s="1026"/>
      <c r="K946" s="1026"/>
      <c r="L946" s="1026"/>
      <c r="M946" s="1026"/>
      <c r="N946" s="1026"/>
      <c r="O946" s="1026"/>
      <c r="P946" s="1026"/>
      <c r="Q946" s="1026"/>
      <c r="R946" s="1026"/>
      <c r="S946" s="1026"/>
      <c r="T946" s="1026"/>
      <c r="U946" s="1026"/>
      <c r="V946" s="1026"/>
      <c r="W946" s="1026"/>
      <c r="X946" s="1026"/>
      <c r="Y946" s="1026"/>
      <c r="Z946" s="1026"/>
    </row>
    <row r="947" spans="1:26">
      <c r="A947" s="1026"/>
      <c r="B947" s="1026"/>
      <c r="C947" s="1026"/>
      <c r="D947" s="1026"/>
      <c r="E947" s="1026"/>
      <c r="F947" s="1026"/>
      <c r="G947" s="1026"/>
      <c r="H947" s="1026"/>
      <c r="I947" s="1026"/>
      <c r="J947" s="1026"/>
      <c r="K947" s="1026"/>
      <c r="L947" s="1026"/>
      <c r="M947" s="1026"/>
      <c r="N947" s="1026"/>
      <c r="O947" s="1026"/>
      <c r="P947" s="1026"/>
      <c r="Q947" s="1026"/>
      <c r="R947" s="1026"/>
      <c r="S947" s="1026"/>
      <c r="T947" s="1026"/>
      <c r="U947" s="1026"/>
      <c r="V947" s="1026"/>
      <c r="W947" s="1026"/>
      <c r="X947" s="1026"/>
      <c r="Y947" s="1026"/>
      <c r="Z947" s="1026"/>
    </row>
    <row r="948" spans="1:26">
      <c r="A948" s="1026"/>
      <c r="B948" s="1026"/>
      <c r="C948" s="1026"/>
      <c r="D948" s="1026"/>
      <c r="E948" s="1026"/>
      <c r="F948" s="1026"/>
      <c r="G948" s="1026"/>
      <c r="H948" s="1026"/>
      <c r="I948" s="1026"/>
      <c r="J948" s="1026"/>
      <c r="K948" s="1026"/>
      <c r="L948" s="1026"/>
      <c r="M948" s="1026"/>
      <c r="N948" s="1026"/>
      <c r="O948" s="1026"/>
      <c r="P948" s="1026"/>
      <c r="Q948" s="1026"/>
      <c r="R948" s="1026"/>
      <c r="S948" s="1026"/>
      <c r="T948" s="1026"/>
      <c r="U948" s="1026"/>
      <c r="V948" s="1026"/>
      <c r="W948" s="1026"/>
      <c r="X948" s="1026"/>
      <c r="Y948" s="1026"/>
      <c r="Z948" s="1026"/>
    </row>
    <row r="949" spans="1:26">
      <c r="A949" s="1026"/>
      <c r="B949" s="1026"/>
      <c r="C949" s="1026"/>
      <c r="D949" s="1026"/>
      <c r="E949" s="1026"/>
      <c r="F949" s="1026"/>
      <c r="G949" s="1026"/>
      <c r="H949" s="1026"/>
      <c r="I949" s="1026"/>
      <c r="J949" s="1026"/>
      <c r="K949" s="1026"/>
      <c r="L949" s="1026"/>
      <c r="M949" s="1026"/>
      <c r="N949" s="1026"/>
      <c r="O949" s="1026"/>
      <c r="P949" s="1026"/>
      <c r="Q949" s="1026"/>
      <c r="R949" s="1026"/>
      <c r="S949" s="1026"/>
      <c r="T949" s="1026"/>
      <c r="U949" s="1026"/>
      <c r="V949" s="1026"/>
      <c r="W949" s="1026"/>
      <c r="X949" s="1026"/>
      <c r="Y949" s="1026"/>
      <c r="Z949" s="1026"/>
    </row>
    <row r="950" spans="1:26">
      <c r="A950" s="1026"/>
      <c r="B950" s="1026"/>
      <c r="C950" s="1026"/>
      <c r="D950" s="1026"/>
      <c r="E950" s="1026"/>
      <c r="F950" s="1026"/>
      <c r="G950" s="1026"/>
      <c r="H950" s="1026"/>
      <c r="I950" s="1026"/>
      <c r="J950" s="1026"/>
      <c r="K950" s="1026"/>
      <c r="L950" s="1026"/>
      <c r="M950" s="1026"/>
      <c r="N950" s="1026"/>
      <c r="O950" s="1026"/>
      <c r="P950" s="1026"/>
      <c r="Q950" s="1026"/>
      <c r="R950" s="1026"/>
      <c r="S950" s="1026"/>
      <c r="T950" s="1026"/>
      <c r="U950" s="1026"/>
      <c r="V950" s="1026"/>
      <c r="W950" s="1026"/>
      <c r="X950" s="1026"/>
      <c r="Y950" s="1026"/>
      <c r="Z950" s="1026"/>
    </row>
    <row r="951" spans="1:26">
      <c r="A951" s="1026"/>
      <c r="B951" s="1026"/>
      <c r="C951" s="1026"/>
      <c r="D951" s="1026"/>
      <c r="E951" s="1026"/>
      <c r="F951" s="1026"/>
      <c r="G951" s="1026"/>
      <c r="H951" s="1026"/>
      <c r="I951" s="1026"/>
      <c r="J951" s="1026"/>
      <c r="K951" s="1026"/>
      <c r="L951" s="1026"/>
      <c r="M951" s="1026"/>
      <c r="N951" s="1026"/>
      <c r="O951" s="1026"/>
      <c r="P951" s="1026"/>
      <c r="Q951" s="1026"/>
      <c r="R951" s="1026"/>
      <c r="S951" s="1026"/>
      <c r="T951" s="1026"/>
      <c r="U951" s="1026"/>
      <c r="V951" s="1026"/>
      <c r="W951" s="1026"/>
      <c r="X951" s="1026"/>
      <c r="Y951" s="1026"/>
      <c r="Z951" s="1026"/>
    </row>
    <row r="952" spans="1:26">
      <c r="A952" s="1026"/>
      <c r="B952" s="1026"/>
      <c r="C952" s="1026"/>
      <c r="D952" s="1026"/>
      <c r="E952" s="1026"/>
      <c r="F952" s="1026"/>
      <c r="G952" s="1026"/>
      <c r="H952" s="1026"/>
      <c r="I952" s="1026"/>
      <c r="J952" s="1026"/>
      <c r="K952" s="1026"/>
      <c r="L952" s="1026"/>
      <c r="M952" s="1026"/>
      <c r="N952" s="1026"/>
      <c r="O952" s="1026"/>
      <c r="P952" s="1026"/>
      <c r="Q952" s="1026"/>
      <c r="R952" s="1026"/>
      <c r="S952" s="1026"/>
      <c r="T952" s="1026"/>
      <c r="U952" s="1026"/>
      <c r="V952" s="1026"/>
      <c r="W952" s="1026"/>
      <c r="X952" s="1026"/>
      <c r="Y952" s="1026"/>
      <c r="Z952" s="1026"/>
    </row>
    <row r="953" spans="1:26">
      <c r="A953" s="1026"/>
      <c r="B953" s="1026"/>
      <c r="C953" s="1026"/>
      <c r="D953" s="1026"/>
      <c r="E953" s="1026"/>
      <c r="F953" s="1026"/>
      <c r="G953" s="1026"/>
      <c r="H953" s="1026"/>
      <c r="I953" s="1026"/>
      <c r="J953" s="1026"/>
      <c r="K953" s="1026"/>
      <c r="L953" s="1026"/>
      <c r="M953" s="1026"/>
      <c r="N953" s="1026"/>
      <c r="O953" s="1026"/>
      <c r="P953" s="1026"/>
      <c r="Q953" s="1026"/>
      <c r="R953" s="1026"/>
      <c r="S953" s="1026"/>
      <c r="T953" s="1026"/>
      <c r="U953" s="1026"/>
      <c r="V953" s="1026"/>
      <c r="W953" s="1026"/>
      <c r="X953" s="1026"/>
      <c r="Y953" s="1026"/>
      <c r="Z953" s="1026"/>
    </row>
    <row r="954" spans="1:26">
      <c r="A954" s="1026"/>
      <c r="B954" s="1026"/>
      <c r="C954" s="1026"/>
      <c r="D954" s="1026"/>
      <c r="E954" s="1026"/>
      <c r="F954" s="1026"/>
      <c r="G954" s="1026"/>
      <c r="H954" s="1026"/>
      <c r="I954" s="1026"/>
      <c r="J954" s="1026"/>
      <c r="K954" s="1026"/>
      <c r="L954" s="1026"/>
      <c r="M954" s="1026"/>
      <c r="N954" s="1026"/>
      <c r="O954" s="1026"/>
      <c r="P954" s="1026"/>
      <c r="Q954" s="1026"/>
      <c r="R954" s="1026"/>
      <c r="S954" s="1026"/>
      <c r="T954" s="1026"/>
      <c r="U954" s="1026"/>
      <c r="V954" s="1026"/>
      <c r="W954" s="1026"/>
      <c r="X954" s="1026"/>
      <c r="Y954" s="1026"/>
      <c r="Z954" s="1026"/>
    </row>
    <row r="955" spans="1:26">
      <c r="A955" s="1026"/>
      <c r="B955" s="1026"/>
      <c r="C955" s="1026"/>
      <c r="D955" s="1026"/>
      <c r="E955" s="1026"/>
      <c r="F955" s="1026"/>
      <c r="G955" s="1026"/>
      <c r="H955" s="1026"/>
      <c r="I955" s="1026"/>
      <c r="J955" s="1026"/>
      <c r="K955" s="1026"/>
      <c r="L955" s="1026"/>
      <c r="M955" s="1026"/>
      <c r="N955" s="1026"/>
      <c r="O955" s="1026"/>
      <c r="P955" s="1026"/>
      <c r="Q955" s="1026"/>
      <c r="R955" s="1026"/>
      <c r="S955" s="1026"/>
      <c r="T955" s="1026"/>
      <c r="U955" s="1026"/>
      <c r="V955" s="1026"/>
      <c r="W955" s="1026"/>
      <c r="X955" s="1026"/>
      <c r="Y955" s="1026"/>
      <c r="Z955" s="1026"/>
    </row>
    <row r="956" spans="1:26">
      <c r="A956" s="1026"/>
      <c r="B956" s="1026"/>
      <c r="C956" s="1026"/>
      <c r="D956" s="1026"/>
      <c r="E956" s="1026"/>
      <c r="F956" s="1026"/>
      <c r="G956" s="1026"/>
      <c r="H956" s="1026"/>
      <c r="I956" s="1026"/>
      <c r="J956" s="1026"/>
      <c r="K956" s="1026"/>
      <c r="L956" s="1026"/>
      <c r="M956" s="1026"/>
      <c r="N956" s="1026"/>
      <c r="O956" s="1026"/>
      <c r="P956" s="1026"/>
      <c r="Q956" s="1026"/>
      <c r="R956" s="1026"/>
      <c r="S956" s="1026"/>
      <c r="T956" s="1026"/>
      <c r="U956" s="1026"/>
      <c r="V956" s="1026"/>
      <c r="W956" s="1026"/>
      <c r="X956" s="1026"/>
      <c r="Y956" s="1026"/>
      <c r="Z956" s="1026"/>
    </row>
    <row r="957" spans="1:26">
      <c r="A957" s="1026"/>
      <c r="B957" s="1026"/>
      <c r="C957" s="1026"/>
      <c r="D957" s="1026"/>
      <c r="E957" s="1026"/>
      <c r="F957" s="1026"/>
      <c r="G957" s="1026"/>
      <c r="H957" s="1026"/>
      <c r="I957" s="1026"/>
      <c r="J957" s="1026"/>
      <c r="K957" s="1026"/>
      <c r="L957" s="1026"/>
      <c r="M957" s="1026"/>
      <c r="N957" s="1026"/>
      <c r="O957" s="1026"/>
      <c r="P957" s="1026"/>
      <c r="Q957" s="1026"/>
      <c r="R957" s="1026"/>
      <c r="S957" s="1026"/>
      <c r="T957" s="1026"/>
      <c r="U957" s="1026"/>
      <c r="V957" s="1026"/>
      <c r="W957" s="1026"/>
      <c r="X957" s="1026"/>
      <c r="Y957" s="1026"/>
      <c r="Z957" s="1026"/>
    </row>
    <row r="958" spans="1:26">
      <c r="A958" s="1026"/>
      <c r="B958" s="1026"/>
      <c r="C958" s="1026"/>
      <c r="D958" s="1026"/>
      <c r="E958" s="1026"/>
      <c r="F958" s="1026"/>
      <c r="G958" s="1026"/>
      <c r="H958" s="1026"/>
      <c r="I958" s="1026"/>
      <c r="J958" s="1026"/>
      <c r="K958" s="1026"/>
      <c r="L958" s="1026"/>
      <c r="M958" s="1026"/>
      <c r="N958" s="1026"/>
      <c r="O958" s="1026"/>
      <c r="P958" s="1026"/>
      <c r="Q958" s="1026"/>
      <c r="R958" s="1026"/>
      <c r="S958" s="1026"/>
      <c r="T958" s="1026"/>
      <c r="U958" s="1026"/>
      <c r="V958" s="1026"/>
      <c r="W958" s="1026"/>
      <c r="X958" s="1026"/>
      <c r="Y958" s="1026"/>
      <c r="Z958" s="1026"/>
    </row>
    <row r="959" spans="1:26">
      <c r="A959" s="1026"/>
      <c r="B959" s="1026"/>
      <c r="C959" s="1026"/>
      <c r="D959" s="1026"/>
      <c r="E959" s="1026"/>
      <c r="F959" s="1026"/>
      <c r="G959" s="1026"/>
      <c r="H959" s="1026"/>
      <c r="I959" s="1026"/>
      <c r="J959" s="1026"/>
      <c r="K959" s="1026"/>
      <c r="L959" s="1026"/>
      <c r="M959" s="1026"/>
      <c r="N959" s="1026"/>
      <c r="O959" s="1026"/>
      <c r="P959" s="1026"/>
      <c r="Q959" s="1026"/>
      <c r="R959" s="1026"/>
      <c r="S959" s="1026"/>
      <c r="T959" s="1026"/>
      <c r="U959" s="1026"/>
      <c r="V959" s="1026"/>
      <c r="W959" s="1026"/>
      <c r="X959" s="1026"/>
      <c r="Y959" s="1026"/>
      <c r="Z959" s="1026"/>
    </row>
    <row r="960" spans="1:26">
      <c r="A960" s="1026"/>
      <c r="B960" s="1026"/>
      <c r="C960" s="1026"/>
      <c r="D960" s="1026"/>
      <c r="E960" s="1026"/>
      <c r="F960" s="1026"/>
      <c r="G960" s="1026"/>
      <c r="H960" s="1026"/>
      <c r="I960" s="1026"/>
      <c r="J960" s="1026"/>
      <c r="K960" s="1026"/>
      <c r="L960" s="1026"/>
      <c r="M960" s="1026"/>
      <c r="N960" s="1026"/>
      <c r="O960" s="1026"/>
      <c r="P960" s="1026"/>
      <c r="Q960" s="1026"/>
      <c r="R960" s="1026"/>
      <c r="S960" s="1026"/>
      <c r="T960" s="1026"/>
      <c r="U960" s="1026"/>
      <c r="V960" s="1026"/>
      <c r="W960" s="1026"/>
      <c r="X960" s="1026"/>
      <c r="Y960" s="1026"/>
      <c r="Z960" s="1026"/>
    </row>
    <row r="961" spans="1:26">
      <c r="A961" s="1026"/>
      <c r="B961" s="1026"/>
      <c r="C961" s="1026"/>
      <c r="D961" s="1026"/>
      <c r="E961" s="1026"/>
      <c r="F961" s="1026"/>
      <c r="G961" s="1026"/>
      <c r="H961" s="1026"/>
      <c r="I961" s="1026"/>
      <c r="J961" s="1026"/>
      <c r="K961" s="1026"/>
      <c r="L961" s="1026"/>
      <c r="M961" s="1026"/>
      <c r="N961" s="1026"/>
      <c r="O961" s="1026"/>
      <c r="P961" s="1026"/>
      <c r="Q961" s="1026"/>
      <c r="R961" s="1026"/>
      <c r="S961" s="1026"/>
      <c r="T961" s="1026"/>
      <c r="U961" s="1026"/>
      <c r="V961" s="1026"/>
      <c r="W961" s="1026"/>
      <c r="X961" s="1026"/>
      <c r="Y961" s="1026"/>
      <c r="Z961" s="1026"/>
    </row>
    <row r="962" spans="1:26">
      <c r="A962" s="1026"/>
      <c r="B962" s="1026"/>
      <c r="C962" s="1026"/>
      <c r="D962" s="1026"/>
      <c r="E962" s="1026"/>
      <c r="F962" s="1026"/>
      <c r="G962" s="1026"/>
      <c r="H962" s="1026"/>
      <c r="I962" s="1026"/>
      <c r="J962" s="1026"/>
      <c r="K962" s="1026"/>
      <c r="L962" s="1026"/>
      <c r="M962" s="1026"/>
      <c r="N962" s="1026"/>
      <c r="O962" s="1026"/>
      <c r="P962" s="1026"/>
      <c r="Q962" s="1026"/>
      <c r="R962" s="1026"/>
      <c r="S962" s="1026"/>
      <c r="T962" s="1026"/>
      <c r="U962" s="1026"/>
      <c r="V962" s="1026"/>
      <c r="W962" s="1026"/>
      <c r="X962" s="1026"/>
      <c r="Y962" s="1026"/>
      <c r="Z962" s="1026"/>
    </row>
    <row r="963" spans="1:26">
      <c r="A963" s="1026"/>
      <c r="B963" s="1026"/>
      <c r="C963" s="1026"/>
      <c r="D963" s="1026"/>
      <c r="E963" s="1026"/>
      <c r="F963" s="1026"/>
      <c r="G963" s="1026"/>
      <c r="H963" s="1026"/>
      <c r="I963" s="1026"/>
      <c r="J963" s="1026"/>
      <c r="K963" s="1026"/>
      <c r="L963" s="1026"/>
      <c r="M963" s="1026"/>
      <c r="N963" s="1026"/>
      <c r="O963" s="1026"/>
      <c r="P963" s="1026"/>
      <c r="Q963" s="1026"/>
      <c r="R963" s="1026"/>
      <c r="S963" s="1026"/>
      <c r="T963" s="1026"/>
      <c r="U963" s="1026"/>
      <c r="V963" s="1026"/>
      <c r="W963" s="1026"/>
      <c r="X963" s="1026"/>
      <c r="Y963" s="1026"/>
      <c r="Z963" s="1026"/>
    </row>
    <row r="964" spans="1:26">
      <c r="A964" s="1026"/>
      <c r="B964" s="1026"/>
      <c r="C964" s="1026"/>
      <c r="D964" s="1026"/>
      <c r="E964" s="1026"/>
      <c r="F964" s="1026"/>
      <c r="G964" s="1026"/>
      <c r="H964" s="1026"/>
      <c r="I964" s="1026"/>
      <c r="J964" s="1026"/>
      <c r="K964" s="1026"/>
      <c r="L964" s="1026"/>
      <c r="M964" s="1026"/>
      <c r="N964" s="1026"/>
      <c r="O964" s="1026"/>
      <c r="P964" s="1026"/>
      <c r="Q964" s="1026"/>
      <c r="R964" s="1026"/>
      <c r="S964" s="1026"/>
      <c r="T964" s="1026"/>
      <c r="U964" s="1026"/>
      <c r="V964" s="1026"/>
      <c r="W964" s="1026"/>
      <c r="X964" s="1026"/>
      <c r="Y964" s="1026"/>
      <c r="Z964" s="1026"/>
    </row>
    <row r="965" spans="1:26">
      <c r="A965" s="1026"/>
      <c r="B965" s="1026"/>
      <c r="C965" s="1026"/>
      <c r="D965" s="1026"/>
      <c r="E965" s="1026"/>
      <c r="F965" s="1026"/>
      <c r="G965" s="1026"/>
      <c r="H965" s="1026"/>
      <c r="I965" s="1026"/>
      <c r="J965" s="1026"/>
      <c r="K965" s="1026"/>
      <c r="L965" s="1026"/>
      <c r="M965" s="1026"/>
      <c r="N965" s="1026"/>
      <c r="O965" s="1026"/>
      <c r="P965" s="1026"/>
      <c r="Q965" s="1026"/>
      <c r="R965" s="1026"/>
      <c r="S965" s="1026"/>
      <c r="T965" s="1026"/>
      <c r="U965" s="1026"/>
      <c r="V965" s="1026"/>
      <c r="W965" s="1026"/>
      <c r="X965" s="1026"/>
      <c r="Y965" s="1026"/>
      <c r="Z965" s="1026"/>
    </row>
    <row r="966" spans="1:26">
      <c r="A966" s="1026"/>
      <c r="B966" s="1026"/>
      <c r="C966" s="1026"/>
      <c r="D966" s="1026"/>
      <c r="E966" s="1026"/>
      <c r="F966" s="1026"/>
      <c r="G966" s="1026"/>
      <c r="H966" s="1026"/>
      <c r="I966" s="1026"/>
      <c r="J966" s="1026"/>
      <c r="K966" s="1026"/>
      <c r="L966" s="1026"/>
      <c r="M966" s="1026"/>
      <c r="N966" s="1026"/>
      <c r="O966" s="1026"/>
      <c r="P966" s="1026"/>
      <c r="Q966" s="1026"/>
      <c r="R966" s="1026"/>
      <c r="S966" s="1026"/>
      <c r="T966" s="1026"/>
      <c r="U966" s="1026"/>
      <c r="V966" s="1026"/>
      <c r="W966" s="1026"/>
      <c r="X966" s="1026"/>
      <c r="Y966" s="1026"/>
      <c r="Z966" s="1026"/>
    </row>
    <row r="967" spans="1:26">
      <c r="A967" s="1026"/>
      <c r="B967" s="1026"/>
      <c r="C967" s="1026"/>
      <c r="D967" s="1026"/>
      <c r="E967" s="1026"/>
      <c r="F967" s="1026"/>
      <c r="G967" s="1026"/>
      <c r="H967" s="1026"/>
      <c r="I967" s="1026"/>
      <c r="J967" s="1026"/>
      <c r="K967" s="1026"/>
      <c r="L967" s="1026"/>
      <c r="M967" s="1026"/>
      <c r="N967" s="1026"/>
      <c r="O967" s="1026"/>
      <c r="P967" s="1026"/>
      <c r="Q967" s="1026"/>
      <c r="R967" s="1026"/>
      <c r="S967" s="1026"/>
      <c r="T967" s="1026"/>
      <c r="U967" s="1026"/>
      <c r="V967" s="1026"/>
      <c r="W967" s="1026"/>
      <c r="X967" s="1026"/>
      <c r="Y967" s="1026"/>
      <c r="Z967" s="1026"/>
    </row>
    <row r="968" spans="1:26">
      <c r="A968" s="1026"/>
      <c r="B968" s="1026"/>
      <c r="C968" s="1026"/>
      <c r="D968" s="1026"/>
      <c r="E968" s="1026"/>
      <c r="F968" s="1026"/>
      <c r="G968" s="1026"/>
      <c r="H968" s="1026"/>
      <c r="I968" s="1026"/>
      <c r="J968" s="1026"/>
      <c r="K968" s="1026"/>
      <c r="L968" s="1026"/>
      <c r="M968" s="1026"/>
      <c r="N968" s="1026"/>
      <c r="O968" s="1026"/>
      <c r="P968" s="1026"/>
      <c r="Q968" s="1026"/>
      <c r="R968" s="1026"/>
      <c r="S968" s="1026"/>
      <c r="T968" s="1026"/>
      <c r="U968" s="1026"/>
      <c r="V968" s="1026"/>
      <c r="W968" s="1026"/>
      <c r="X968" s="1026"/>
      <c r="Y968" s="1026"/>
      <c r="Z968" s="1026"/>
    </row>
    <row r="969" spans="1:26">
      <c r="A969" s="1026"/>
      <c r="B969" s="1026"/>
      <c r="C969" s="1026"/>
      <c r="D969" s="1026"/>
      <c r="E969" s="1026"/>
      <c r="F969" s="1026"/>
      <c r="G969" s="1026"/>
      <c r="H969" s="1026"/>
      <c r="I969" s="1026"/>
      <c r="J969" s="1026"/>
      <c r="K969" s="1026"/>
      <c r="L969" s="1026"/>
      <c r="M969" s="1026"/>
      <c r="N969" s="1026"/>
      <c r="O969" s="1026"/>
      <c r="P969" s="1026"/>
      <c r="Q969" s="1026"/>
      <c r="R969" s="1026"/>
      <c r="S969" s="1026"/>
      <c r="T969" s="1026"/>
      <c r="U969" s="1026"/>
      <c r="V969" s="1026"/>
      <c r="W969" s="1026"/>
      <c r="X969" s="1026"/>
      <c r="Y969" s="1026"/>
      <c r="Z969" s="1026"/>
    </row>
    <row r="970" spans="1:26">
      <c r="A970" s="1026"/>
      <c r="B970" s="1026"/>
      <c r="C970" s="1026"/>
      <c r="D970" s="1026"/>
      <c r="E970" s="1026"/>
      <c r="F970" s="1026"/>
      <c r="G970" s="1026"/>
      <c r="H970" s="1026"/>
      <c r="I970" s="1026"/>
      <c r="J970" s="1026"/>
      <c r="K970" s="1026"/>
      <c r="L970" s="1026"/>
      <c r="M970" s="1026"/>
      <c r="N970" s="1026"/>
      <c r="O970" s="1026"/>
      <c r="P970" s="1026"/>
      <c r="Q970" s="1026"/>
      <c r="R970" s="1026"/>
      <c r="S970" s="1026"/>
      <c r="T970" s="1026"/>
      <c r="U970" s="1026"/>
      <c r="V970" s="1026"/>
      <c r="W970" s="1026"/>
      <c r="X970" s="1026"/>
      <c r="Y970" s="1026"/>
      <c r="Z970" s="1026"/>
    </row>
    <row r="971" spans="1:26">
      <c r="A971" s="1026"/>
      <c r="B971" s="1026"/>
      <c r="C971" s="1026"/>
      <c r="D971" s="1026"/>
      <c r="E971" s="1026"/>
      <c r="F971" s="1026"/>
      <c r="G971" s="1026"/>
      <c r="H971" s="1026"/>
      <c r="I971" s="1026"/>
      <c r="J971" s="1026"/>
      <c r="K971" s="1026"/>
      <c r="L971" s="1026"/>
      <c r="M971" s="1026"/>
      <c r="N971" s="1026"/>
      <c r="O971" s="1026"/>
      <c r="P971" s="1026"/>
      <c r="Q971" s="1026"/>
      <c r="R971" s="1026"/>
      <c r="S971" s="1026"/>
      <c r="T971" s="1026"/>
      <c r="U971" s="1026"/>
      <c r="V971" s="1026"/>
      <c r="W971" s="1026"/>
      <c r="X971" s="1026"/>
      <c r="Y971" s="1026"/>
      <c r="Z971" s="1026"/>
    </row>
    <row r="972" spans="1:26">
      <c r="A972" s="1026"/>
      <c r="B972" s="1026"/>
      <c r="C972" s="1026"/>
      <c r="D972" s="1026"/>
      <c r="E972" s="1026"/>
      <c r="F972" s="1026"/>
      <c r="G972" s="1026"/>
      <c r="H972" s="1026"/>
      <c r="I972" s="1026"/>
      <c r="J972" s="1026"/>
      <c r="K972" s="1026"/>
      <c r="L972" s="1026"/>
      <c r="M972" s="1026"/>
      <c r="N972" s="1026"/>
      <c r="O972" s="1026"/>
      <c r="P972" s="1026"/>
      <c r="Q972" s="1026"/>
      <c r="R972" s="1026"/>
      <c r="S972" s="1026"/>
      <c r="T972" s="1026"/>
      <c r="U972" s="1026"/>
      <c r="V972" s="1026"/>
      <c r="W972" s="1026"/>
      <c r="X972" s="1026"/>
      <c r="Y972" s="1026"/>
      <c r="Z972" s="1026"/>
    </row>
    <row r="973" spans="1:26">
      <c r="A973" s="1026"/>
      <c r="B973" s="1026"/>
      <c r="C973" s="1026"/>
      <c r="D973" s="1026"/>
      <c r="E973" s="1026"/>
      <c r="F973" s="1026"/>
      <c r="G973" s="1026"/>
      <c r="H973" s="1026"/>
      <c r="I973" s="1026"/>
      <c r="J973" s="1026"/>
      <c r="K973" s="1026"/>
      <c r="L973" s="1026"/>
      <c r="M973" s="1026"/>
      <c r="N973" s="1026"/>
      <c r="O973" s="1026"/>
      <c r="P973" s="1026"/>
      <c r="Q973" s="1026"/>
      <c r="R973" s="1026"/>
      <c r="S973" s="1026"/>
      <c r="T973" s="1026"/>
      <c r="U973" s="1026"/>
      <c r="V973" s="1026"/>
      <c r="W973" s="1026"/>
      <c r="X973" s="1026"/>
      <c r="Y973" s="1026"/>
      <c r="Z973" s="1026"/>
    </row>
    <row r="974" spans="1:26">
      <c r="A974" s="1026"/>
      <c r="B974" s="1026"/>
      <c r="C974" s="1026"/>
      <c r="D974" s="1026"/>
      <c r="E974" s="1026"/>
      <c r="F974" s="1026"/>
      <c r="G974" s="1026"/>
      <c r="H974" s="1026"/>
      <c r="I974" s="1026"/>
      <c r="J974" s="1026"/>
      <c r="K974" s="1026"/>
      <c r="L974" s="1026"/>
      <c r="M974" s="1026"/>
      <c r="N974" s="1026"/>
      <c r="O974" s="1026"/>
      <c r="P974" s="1026"/>
      <c r="Q974" s="1026"/>
      <c r="R974" s="1026"/>
      <c r="S974" s="1026"/>
      <c r="T974" s="1026"/>
      <c r="U974" s="1026"/>
      <c r="V974" s="1026"/>
      <c r="W974" s="1026"/>
      <c r="X974" s="1026"/>
      <c r="Y974" s="1026"/>
      <c r="Z974" s="1026"/>
    </row>
    <row r="975" spans="1:26">
      <c r="A975" s="1026"/>
      <c r="B975" s="1026"/>
      <c r="C975" s="1026"/>
      <c r="D975" s="1026"/>
      <c r="E975" s="1026"/>
      <c r="F975" s="1026"/>
      <c r="G975" s="1026"/>
      <c r="H975" s="1026"/>
      <c r="I975" s="1026"/>
      <c r="J975" s="1026"/>
      <c r="K975" s="1026"/>
      <c r="L975" s="1026"/>
      <c r="M975" s="1026"/>
      <c r="N975" s="1026"/>
      <c r="O975" s="1026"/>
      <c r="P975" s="1026"/>
      <c r="Q975" s="1026"/>
      <c r="R975" s="1026"/>
      <c r="S975" s="1026"/>
      <c r="T975" s="1026"/>
      <c r="U975" s="1026"/>
      <c r="V975" s="1026"/>
      <c r="W975" s="1026"/>
      <c r="X975" s="1026"/>
      <c r="Y975" s="1026"/>
      <c r="Z975" s="1026"/>
    </row>
    <row r="976" spans="1:26">
      <c r="A976" s="1026"/>
      <c r="B976" s="1026"/>
      <c r="C976" s="1026"/>
      <c r="D976" s="1026"/>
      <c r="E976" s="1026"/>
      <c r="F976" s="1026"/>
      <c r="G976" s="1026"/>
      <c r="H976" s="1026"/>
      <c r="I976" s="1026"/>
      <c r="J976" s="1026"/>
      <c r="K976" s="1026"/>
      <c r="L976" s="1026"/>
      <c r="M976" s="1026"/>
      <c r="N976" s="1026"/>
      <c r="O976" s="1026"/>
      <c r="P976" s="1026"/>
      <c r="Q976" s="1026"/>
      <c r="R976" s="1026"/>
      <c r="S976" s="1026"/>
      <c r="T976" s="1026"/>
      <c r="U976" s="1026"/>
      <c r="V976" s="1026"/>
      <c r="W976" s="1026"/>
      <c r="X976" s="1026"/>
      <c r="Y976" s="1026"/>
      <c r="Z976" s="1026"/>
    </row>
    <row r="977" spans="1:26">
      <c r="A977" s="1026"/>
      <c r="B977" s="1026"/>
      <c r="C977" s="1026"/>
      <c r="D977" s="1026"/>
      <c r="E977" s="1026"/>
      <c r="F977" s="1026"/>
      <c r="G977" s="1026"/>
      <c r="H977" s="1026"/>
      <c r="I977" s="1026"/>
      <c r="J977" s="1026"/>
      <c r="K977" s="1026"/>
      <c r="L977" s="1026"/>
      <c r="M977" s="1026"/>
      <c r="N977" s="1026"/>
      <c r="O977" s="1026"/>
      <c r="P977" s="1026"/>
      <c r="Q977" s="1026"/>
      <c r="R977" s="1026"/>
      <c r="S977" s="1026"/>
      <c r="T977" s="1026"/>
      <c r="U977" s="1026"/>
      <c r="V977" s="1026"/>
      <c r="W977" s="1026"/>
      <c r="X977" s="1026"/>
      <c r="Y977" s="1026"/>
      <c r="Z977" s="1026"/>
    </row>
    <row r="978" spans="1:26">
      <c r="A978" s="1026"/>
      <c r="B978" s="1026"/>
      <c r="C978" s="1026"/>
      <c r="D978" s="1026"/>
      <c r="E978" s="1026"/>
      <c r="F978" s="1026"/>
      <c r="G978" s="1026"/>
      <c r="H978" s="1026"/>
      <c r="I978" s="1026"/>
      <c r="J978" s="1026"/>
      <c r="K978" s="1026"/>
      <c r="L978" s="1026"/>
      <c r="M978" s="1026"/>
      <c r="N978" s="1026"/>
      <c r="O978" s="1026"/>
      <c r="P978" s="1026"/>
      <c r="Q978" s="1026"/>
      <c r="R978" s="1026"/>
      <c r="S978" s="1026"/>
      <c r="T978" s="1026"/>
      <c r="U978" s="1026"/>
      <c r="V978" s="1026"/>
      <c r="W978" s="1026"/>
      <c r="X978" s="1026"/>
      <c r="Y978" s="1026"/>
      <c r="Z978" s="1026"/>
    </row>
    <row r="979" spans="1:26">
      <c r="A979" s="1026"/>
      <c r="B979" s="1026"/>
      <c r="C979" s="1026"/>
      <c r="D979" s="1026"/>
      <c r="E979" s="1026"/>
      <c r="F979" s="1026"/>
      <c r="G979" s="1026"/>
      <c r="H979" s="1026"/>
      <c r="I979" s="1026"/>
      <c r="J979" s="1026"/>
      <c r="K979" s="1026"/>
      <c r="L979" s="1026"/>
      <c r="M979" s="1026"/>
      <c r="N979" s="1026"/>
      <c r="O979" s="1026"/>
      <c r="P979" s="1026"/>
      <c r="Q979" s="1026"/>
      <c r="R979" s="1026"/>
      <c r="S979" s="1026"/>
      <c r="T979" s="1026"/>
      <c r="U979" s="1026"/>
      <c r="V979" s="1026"/>
      <c r="W979" s="1026"/>
      <c r="X979" s="1026"/>
      <c r="Y979" s="1026"/>
      <c r="Z979" s="1026"/>
    </row>
    <row r="980" spans="1:26">
      <c r="A980" s="1026"/>
      <c r="B980" s="1026"/>
      <c r="C980" s="1026"/>
      <c r="D980" s="1026"/>
      <c r="E980" s="1026"/>
      <c r="F980" s="1026"/>
      <c r="G980" s="1026"/>
      <c r="H980" s="1026"/>
      <c r="I980" s="1026"/>
      <c r="J980" s="1026"/>
      <c r="K980" s="1026"/>
      <c r="L980" s="1026"/>
      <c r="M980" s="1026"/>
      <c r="N980" s="1026"/>
      <c r="O980" s="1026"/>
      <c r="P980" s="1026"/>
      <c r="Q980" s="1026"/>
      <c r="R980" s="1026"/>
      <c r="S980" s="1026"/>
      <c r="T980" s="1026"/>
      <c r="U980" s="1026"/>
      <c r="V980" s="1026"/>
      <c r="W980" s="1026"/>
      <c r="X980" s="1026"/>
      <c r="Y980" s="1026"/>
      <c r="Z980" s="1026"/>
    </row>
    <row r="981" spans="1:26">
      <c r="A981" s="1026"/>
      <c r="B981" s="1026"/>
      <c r="C981" s="1026"/>
      <c r="D981" s="1026"/>
      <c r="E981" s="1026"/>
      <c r="F981" s="1026"/>
      <c r="G981" s="1026"/>
      <c r="H981" s="1026"/>
      <c r="I981" s="1026"/>
      <c r="J981" s="1026"/>
      <c r="K981" s="1026"/>
      <c r="L981" s="1026"/>
      <c r="M981" s="1026"/>
      <c r="N981" s="1026"/>
      <c r="O981" s="1026"/>
      <c r="P981" s="1026"/>
      <c r="Q981" s="1026"/>
      <c r="R981" s="1026"/>
      <c r="S981" s="1026"/>
      <c r="T981" s="1026"/>
      <c r="U981" s="1026"/>
      <c r="V981" s="1026"/>
      <c r="W981" s="1026"/>
      <c r="X981" s="1026"/>
      <c r="Y981" s="1026"/>
      <c r="Z981" s="1026"/>
    </row>
    <row r="982" spans="1:26">
      <c r="A982" s="1026"/>
      <c r="B982" s="1026"/>
      <c r="C982" s="1026"/>
      <c r="D982" s="1026"/>
      <c r="E982" s="1026"/>
      <c r="F982" s="1026"/>
      <c r="G982" s="1026"/>
      <c r="H982" s="1026"/>
      <c r="I982" s="1026"/>
      <c r="J982" s="1026"/>
      <c r="K982" s="1026"/>
      <c r="L982" s="1026"/>
      <c r="M982" s="1026"/>
      <c r="N982" s="1026"/>
      <c r="O982" s="1026"/>
      <c r="P982" s="1026"/>
      <c r="Q982" s="1026"/>
      <c r="R982" s="1026"/>
      <c r="S982" s="1026"/>
      <c r="T982" s="1026"/>
      <c r="U982" s="1026"/>
      <c r="V982" s="1026"/>
      <c r="W982" s="1026"/>
      <c r="X982" s="1026"/>
      <c r="Y982" s="1026"/>
      <c r="Z982" s="1026"/>
    </row>
    <row r="983" spans="1:26">
      <c r="A983" s="1026"/>
      <c r="B983" s="1026"/>
      <c r="C983" s="1026"/>
      <c r="D983" s="1026"/>
      <c r="E983" s="1026"/>
      <c r="F983" s="1026"/>
      <c r="G983" s="1026"/>
      <c r="H983" s="1026"/>
      <c r="I983" s="1026"/>
      <c r="J983" s="1026"/>
      <c r="K983" s="1026"/>
      <c r="L983" s="1026"/>
      <c r="M983" s="1026"/>
      <c r="N983" s="1026"/>
      <c r="O983" s="1026"/>
      <c r="P983" s="1026"/>
      <c r="Q983" s="1026"/>
      <c r="R983" s="1026"/>
      <c r="S983" s="1026"/>
      <c r="T983" s="1026"/>
      <c r="U983" s="1026"/>
      <c r="V983" s="1026"/>
      <c r="W983" s="1026"/>
      <c r="X983" s="1026"/>
      <c r="Y983" s="1026"/>
      <c r="Z983" s="1026"/>
    </row>
    <row r="984" spans="1:26">
      <c r="A984" s="1026"/>
      <c r="B984" s="1026"/>
      <c r="C984" s="1026"/>
      <c r="D984" s="1026"/>
      <c r="E984" s="1026"/>
      <c r="F984" s="1026"/>
      <c r="G984" s="1026"/>
      <c r="H984" s="1026"/>
      <c r="I984" s="1026"/>
      <c r="J984" s="1026"/>
      <c r="K984" s="1026"/>
      <c r="L984" s="1026"/>
      <c r="M984" s="1026"/>
      <c r="N984" s="1026"/>
      <c r="O984" s="1026"/>
      <c r="P984" s="1026"/>
      <c r="Q984" s="1026"/>
      <c r="R984" s="1026"/>
      <c r="S984" s="1026"/>
      <c r="T984" s="1026"/>
      <c r="U984" s="1026"/>
      <c r="V984" s="1026"/>
      <c r="W984" s="1026"/>
      <c r="X984" s="1026"/>
      <c r="Y984" s="1026"/>
      <c r="Z984" s="1026"/>
    </row>
    <row r="985" spans="1:26">
      <c r="A985" s="1026"/>
      <c r="B985" s="1026"/>
      <c r="C985" s="1026"/>
      <c r="D985" s="1026"/>
      <c r="E985" s="1026"/>
      <c r="F985" s="1026"/>
      <c r="G985" s="1026"/>
      <c r="H985" s="1026"/>
      <c r="I985" s="1026"/>
      <c r="J985" s="1026"/>
      <c r="K985" s="1026"/>
      <c r="L985" s="1026"/>
      <c r="M985" s="1026"/>
      <c r="N985" s="1026"/>
      <c r="O985" s="1026"/>
      <c r="P985" s="1026"/>
      <c r="Q985" s="1026"/>
      <c r="R985" s="1026"/>
      <c r="S985" s="1026"/>
      <c r="T985" s="1026"/>
      <c r="U985" s="1026"/>
      <c r="V985" s="1026"/>
      <c r="W985" s="1026"/>
      <c r="X985" s="1026"/>
      <c r="Y985" s="1026"/>
      <c r="Z985" s="1026"/>
    </row>
    <row r="986" spans="1:26">
      <c r="A986" s="1026"/>
      <c r="B986" s="1026"/>
      <c r="C986" s="1026"/>
      <c r="D986" s="1026"/>
      <c r="E986" s="1026"/>
      <c r="F986" s="1026"/>
      <c r="G986" s="1026"/>
      <c r="H986" s="1026"/>
      <c r="I986" s="1026"/>
      <c r="J986" s="1026"/>
      <c r="K986" s="1026"/>
      <c r="L986" s="1026"/>
      <c r="M986" s="1026"/>
      <c r="N986" s="1026"/>
      <c r="O986" s="1026"/>
      <c r="P986" s="1026"/>
      <c r="Q986" s="1026"/>
      <c r="R986" s="1026"/>
      <c r="S986" s="1026"/>
      <c r="T986" s="1026"/>
      <c r="U986" s="1026"/>
      <c r="V986" s="1026"/>
      <c r="W986" s="1026"/>
      <c r="X986" s="1026"/>
      <c r="Y986" s="1026"/>
      <c r="Z986" s="1026"/>
    </row>
    <row r="987" spans="1:26">
      <c r="A987" s="1026"/>
      <c r="B987" s="1026"/>
      <c r="C987" s="1026"/>
      <c r="D987" s="1026"/>
      <c r="E987" s="1026"/>
      <c r="F987" s="1026"/>
      <c r="G987" s="1026"/>
      <c r="H987" s="1026"/>
      <c r="I987" s="1026"/>
      <c r="J987" s="1026"/>
      <c r="K987" s="1026"/>
      <c r="L987" s="1026"/>
      <c r="M987" s="1026"/>
      <c r="N987" s="1026"/>
      <c r="O987" s="1026"/>
      <c r="P987" s="1026"/>
      <c r="Q987" s="1026"/>
      <c r="R987" s="1026"/>
      <c r="S987" s="1026"/>
      <c r="T987" s="1026"/>
      <c r="U987" s="1026"/>
      <c r="V987" s="1026"/>
      <c r="W987" s="1026"/>
      <c r="X987" s="1026"/>
      <c r="Y987" s="1026"/>
      <c r="Z987" s="1026"/>
    </row>
    <row r="988" spans="1:26">
      <c r="A988" s="1026"/>
      <c r="B988" s="1026"/>
      <c r="C988" s="1026"/>
      <c r="D988" s="1026"/>
      <c r="E988" s="1026"/>
      <c r="F988" s="1026"/>
      <c r="G988" s="1026"/>
      <c r="H988" s="1026"/>
      <c r="I988" s="1026"/>
      <c r="J988" s="1026"/>
      <c r="K988" s="1026"/>
      <c r="L988" s="1026"/>
      <c r="M988" s="1026"/>
      <c r="N988" s="1026"/>
      <c r="O988" s="1026"/>
      <c r="P988" s="1026"/>
      <c r="Q988" s="1026"/>
      <c r="R988" s="1026"/>
      <c r="S988" s="1026"/>
      <c r="T988" s="1026"/>
      <c r="U988" s="1026"/>
      <c r="V988" s="1026"/>
      <c r="W988" s="1026"/>
      <c r="X988" s="1026"/>
      <c r="Y988" s="1026"/>
      <c r="Z988" s="1026"/>
    </row>
    <row r="989" spans="1:26">
      <c r="A989" s="1026"/>
      <c r="B989" s="1026"/>
      <c r="C989" s="1026"/>
      <c r="D989" s="1026"/>
      <c r="E989" s="1026"/>
      <c r="F989" s="1026"/>
      <c r="G989" s="1026"/>
      <c r="H989" s="1026"/>
      <c r="I989" s="1026"/>
      <c r="J989" s="1026"/>
      <c r="K989" s="1026"/>
      <c r="L989" s="1026"/>
      <c r="M989" s="1026"/>
      <c r="N989" s="1026"/>
      <c r="O989" s="1026"/>
      <c r="P989" s="1026"/>
      <c r="Q989" s="1026"/>
      <c r="R989" s="1026"/>
      <c r="S989" s="1026"/>
      <c r="T989" s="1026"/>
      <c r="U989" s="1026"/>
      <c r="V989" s="1026"/>
      <c r="W989" s="1026"/>
      <c r="X989" s="1026"/>
      <c r="Y989" s="1026"/>
      <c r="Z989" s="1026"/>
    </row>
    <row r="990" spans="1:26">
      <c r="A990" s="1026"/>
      <c r="B990" s="1026"/>
      <c r="C990" s="1026"/>
      <c r="D990" s="1026"/>
      <c r="E990" s="1026"/>
      <c r="F990" s="1026"/>
      <c r="G990" s="1026"/>
      <c r="H990" s="1026"/>
      <c r="I990" s="1026"/>
      <c r="J990" s="1026"/>
      <c r="K990" s="1026"/>
      <c r="L990" s="1026"/>
      <c r="M990" s="1026"/>
      <c r="N990" s="1026"/>
      <c r="O990" s="1026"/>
      <c r="P990" s="1026"/>
      <c r="Q990" s="1026"/>
      <c r="R990" s="1026"/>
      <c r="S990" s="1026"/>
      <c r="T990" s="1026"/>
      <c r="U990" s="1026"/>
      <c r="V990" s="1026"/>
      <c r="W990" s="1026"/>
      <c r="X990" s="1026"/>
      <c r="Y990" s="1026"/>
      <c r="Z990" s="1026"/>
    </row>
    <row r="991" spans="1:26">
      <c r="A991" s="1026"/>
      <c r="B991" s="1026"/>
      <c r="C991" s="1026"/>
      <c r="D991" s="1026"/>
      <c r="E991" s="1026"/>
      <c r="F991" s="1026"/>
      <c r="G991" s="1026"/>
      <c r="H991" s="1026"/>
      <c r="I991" s="1026"/>
      <c r="J991" s="1026"/>
      <c r="K991" s="1026"/>
      <c r="L991" s="1026"/>
      <c r="M991" s="1026"/>
      <c r="N991" s="1026"/>
      <c r="O991" s="1026"/>
      <c r="P991" s="1026"/>
      <c r="Q991" s="1026"/>
      <c r="R991" s="1026"/>
      <c r="S991" s="1026"/>
      <c r="T991" s="1026"/>
      <c r="U991" s="1026"/>
      <c r="V991" s="1026"/>
      <c r="W991" s="1026"/>
      <c r="X991" s="1026"/>
      <c r="Y991" s="1026"/>
      <c r="Z991" s="1026"/>
    </row>
    <row r="992" spans="1:26">
      <c r="A992" s="1026"/>
      <c r="B992" s="1026"/>
      <c r="C992" s="1026"/>
      <c r="D992" s="1026"/>
      <c r="E992" s="1026"/>
      <c r="F992" s="1026"/>
      <c r="G992" s="1026"/>
      <c r="H992" s="1026"/>
      <c r="I992" s="1026"/>
      <c r="J992" s="1026"/>
      <c r="K992" s="1026"/>
      <c r="L992" s="1026"/>
      <c r="M992" s="1026"/>
      <c r="N992" s="1026"/>
      <c r="O992" s="1026"/>
      <c r="P992" s="1026"/>
      <c r="Q992" s="1026"/>
      <c r="R992" s="1026"/>
      <c r="S992" s="1026"/>
      <c r="T992" s="1026"/>
      <c r="U992" s="1026"/>
      <c r="V992" s="1026"/>
      <c r="W992" s="1026"/>
      <c r="X992" s="1026"/>
      <c r="Y992" s="1026"/>
      <c r="Z992" s="1026"/>
    </row>
    <row r="993" spans="1:26">
      <c r="A993" s="1026"/>
      <c r="B993" s="1026"/>
      <c r="C993" s="1026"/>
      <c r="D993" s="1026"/>
      <c r="E993" s="1026"/>
      <c r="F993" s="1026"/>
      <c r="G993" s="1026"/>
      <c r="H993" s="1026"/>
      <c r="I993" s="1026"/>
      <c r="J993" s="1026"/>
      <c r="K993" s="1026"/>
      <c r="L993" s="1026"/>
      <c r="M993" s="1026"/>
      <c r="N993" s="1026"/>
      <c r="O993" s="1026"/>
      <c r="P993" s="1026"/>
      <c r="Q993" s="1026"/>
      <c r="R993" s="1026"/>
      <c r="S993" s="1026"/>
      <c r="T993" s="1026"/>
      <c r="U993" s="1026"/>
      <c r="V993" s="1026"/>
      <c r="W993" s="1026"/>
      <c r="X993" s="1026"/>
      <c r="Y993" s="1026"/>
      <c r="Z993" s="1026"/>
    </row>
    <row r="994" spans="1:26">
      <c r="A994" s="1026"/>
      <c r="B994" s="1026"/>
      <c r="C994" s="1026"/>
      <c r="D994" s="1026"/>
      <c r="E994" s="1026"/>
      <c r="F994" s="1026"/>
      <c r="G994" s="1026"/>
      <c r="H994" s="1026"/>
      <c r="I994" s="1026"/>
      <c r="J994" s="1026"/>
      <c r="K994" s="1026"/>
      <c r="L994" s="1026"/>
      <c r="M994" s="1026"/>
      <c r="N994" s="1026"/>
      <c r="O994" s="1026"/>
      <c r="P994" s="1026"/>
      <c r="Q994" s="1026"/>
      <c r="R994" s="1026"/>
      <c r="S994" s="1026"/>
      <c r="T994" s="1026"/>
      <c r="U994" s="1026"/>
      <c r="V994" s="1026"/>
      <c r="W994" s="1026"/>
      <c r="X994" s="1026"/>
      <c r="Y994" s="1026"/>
      <c r="Z994" s="1026"/>
    </row>
    <row r="995" spans="1:26">
      <c r="A995" s="1026"/>
      <c r="B995" s="1026"/>
      <c r="C995" s="1026"/>
      <c r="D995" s="1026"/>
      <c r="E995" s="1026"/>
      <c r="F995" s="1026"/>
      <c r="G995" s="1026"/>
      <c r="H995" s="1026"/>
      <c r="I995" s="1026"/>
      <c r="J995" s="1026"/>
      <c r="K995" s="1026"/>
      <c r="L995" s="1026"/>
      <c r="M995" s="1026"/>
      <c r="N995" s="1026"/>
      <c r="O995" s="1026"/>
      <c r="P995" s="1026"/>
      <c r="Q995" s="1026"/>
      <c r="R995" s="1026"/>
      <c r="S995" s="1026"/>
      <c r="T995" s="1026"/>
      <c r="U995" s="1026"/>
      <c r="V995" s="1026"/>
      <c r="W995" s="1026"/>
      <c r="X995" s="1026"/>
      <c r="Y995" s="1026"/>
      <c r="Z995" s="1026"/>
    </row>
    <row r="996" spans="1:26">
      <c r="A996" s="1026"/>
      <c r="B996" s="1026"/>
      <c r="C996" s="1026"/>
      <c r="D996" s="1026"/>
      <c r="E996" s="1026"/>
      <c r="F996" s="1026"/>
      <c r="G996" s="1026"/>
      <c r="H996" s="1026"/>
      <c r="I996" s="1026"/>
      <c r="J996" s="1026"/>
      <c r="K996" s="1026"/>
      <c r="L996" s="1026"/>
      <c r="M996" s="1026"/>
      <c r="N996" s="1026"/>
      <c r="O996" s="1026"/>
      <c r="P996" s="1026"/>
      <c r="Q996" s="1026"/>
      <c r="R996" s="1026"/>
      <c r="S996" s="1026"/>
      <c r="T996" s="1026"/>
      <c r="U996" s="1026"/>
      <c r="V996" s="1026"/>
      <c r="W996" s="1026"/>
      <c r="X996" s="1026"/>
      <c r="Y996" s="1026"/>
      <c r="Z996" s="1026"/>
    </row>
    <row r="997" spans="1:26">
      <c r="A997" s="1026"/>
      <c r="B997" s="1026"/>
      <c r="C997" s="1026"/>
      <c r="D997" s="1026"/>
      <c r="E997" s="1026"/>
      <c r="F997" s="1026"/>
      <c r="G997" s="1026"/>
      <c r="H997" s="1026"/>
      <c r="I997" s="1026"/>
      <c r="J997" s="1026"/>
      <c r="K997" s="1026"/>
      <c r="L997" s="1026"/>
      <c r="M997" s="1026"/>
      <c r="N997" s="1026"/>
      <c r="O997" s="1026"/>
      <c r="P997" s="1026"/>
      <c r="Q997" s="1026"/>
      <c r="R997" s="1026"/>
      <c r="S997" s="1026"/>
      <c r="T997" s="1026"/>
      <c r="U997" s="1026"/>
      <c r="V997" s="1026"/>
      <c r="W997" s="1026"/>
      <c r="X997" s="1026"/>
      <c r="Y997" s="1026"/>
      <c r="Z997" s="1026"/>
    </row>
    <row r="998" spans="1:26">
      <c r="A998" s="1026"/>
      <c r="B998" s="1026"/>
      <c r="C998" s="1026"/>
      <c r="D998" s="1026"/>
      <c r="E998" s="1026"/>
      <c r="F998" s="1026"/>
      <c r="G998" s="1026"/>
      <c r="H998" s="1026"/>
      <c r="I998" s="1026"/>
      <c r="J998" s="1026"/>
      <c r="K998" s="1026"/>
      <c r="L998" s="1026"/>
      <c r="M998" s="1026"/>
      <c r="N998" s="1026"/>
      <c r="O998" s="1026"/>
      <c r="P998" s="1026"/>
      <c r="Q998" s="1026"/>
      <c r="R998" s="1026"/>
      <c r="S998" s="1026"/>
      <c r="T998" s="1026"/>
      <c r="U998" s="1026"/>
      <c r="V998" s="1026"/>
      <c r="W998" s="1026"/>
      <c r="X998" s="1026"/>
      <c r="Y998" s="1026"/>
      <c r="Z998" s="1026"/>
    </row>
    <row r="999" spans="1:26">
      <c r="A999" s="1026"/>
      <c r="B999" s="1026"/>
      <c r="C999" s="1026"/>
      <c r="D999" s="1026"/>
      <c r="E999" s="1026"/>
      <c r="F999" s="1026"/>
      <c r="G999" s="1026"/>
      <c r="H999" s="1026"/>
      <c r="I999" s="1026"/>
      <c r="J999" s="1026"/>
      <c r="K999" s="1026"/>
      <c r="L999" s="1026"/>
      <c r="M999" s="1026"/>
      <c r="N999" s="1026"/>
      <c r="O999" s="1026"/>
      <c r="P999" s="1026"/>
      <c r="Q999" s="1026"/>
      <c r="R999" s="1026"/>
      <c r="S999" s="1026"/>
      <c r="T999" s="1026"/>
      <c r="U999" s="1026"/>
      <c r="V999" s="1026"/>
      <c r="W999" s="1026"/>
      <c r="X999" s="1026"/>
      <c r="Y999" s="1026"/>
      <c r="Z999" s="1026"/>
    </row>
    <row r="1000" spans="1:26">
      <c r="A1000" s="1026"/>
      <c r="B1000" s="1026"/>
      <c r="C1000" s="1026"/>
      <c r="D1000" s="1026"/>
      <c r="E1000" s="1026"/>
      <c r="F1000" s="1026"/>
      <c r="G1000" s="1026"/>
      <c r="H1000" s="1026"/>
      <c r="I1000" s="1026"/>
      <c r="J1000" s="1026"/>
      <c r="K1000" s="1026"/>
      <c r="L1000" s="1026"/>
      <c r="M1000" s="1026"/>
      <c r="N1000" s="1026"/>
      <c r="O1000" s="1026"/>
      <c r="P1000" s="1026"/>
      <c r="Q1000" s="1026"/>
      <c r="R1000" s="1026"/>
      <c r="S1000" s="1026"/>
      <c r="T1000" s="1026"/>
      <c r="U1000" s="1026"/>
      <c r="V1000" s="1026"/>
      <c r="W1000" s="1026"/>
      <c r="X1000" s="1026"/>
      <c r="Y1000" s="1026"/>
      <c r="Z1000" s="1026"/>
    </row>
    <row r="1001" spans="1:26">
      <c r="A1001" s="1026"/>
      <c r="B1001" s="1026"/>
      <c r="C1001" s="1026"/>
      <c r="D1001" s="1026"/>
      <c r="E1001" s="1026"/>
      <c r="F1001" s="1026"/>
      <c r="G1001" s="1026"/>
      <c r="H1001" s="1026"/>
      <c r="I1001" s="1026"/>
      <c r="J1001" s="1026"/>
      <c r="K1001" s="1026"/>
      <c r="L1001" s="1026"/>
      <c r="M1001" s="1026"/>
      <c r="N1001" s="1026"/>
      <c r="O1001" s="1026"/>
      <c r="P1001" s="1026"/>
      <c r="Q1001" s="1026"/>
      <c r="R1001" s="1026"/>
      <c r="S1001" s="1026"/>
      <c r="T1001" s="1026"/>
      <c r="U1001" s="1026"/>
      <c r="V1001" s="1026"/>
      <c r="W1001" s="1026"/>
      <c r="X1001" s="1026"/>
      <c r="Y1001" s="1026"/>
      <c r="Z1001" s="1026"/>
    </row>
    <row r="1002" spans="1:26">
      <c r="A1002" s="1026"/>
      <c r="B1002" s="1026"/>
      <c r="C1002" s="1026"/>
      <c r="D1002" s="1026"/>
      <c r="E1002" s="1026"/>
      <c r="F1002" s="1026"/>
      <c r="G1002" s="1026"/>
      <c r="H1002" s="1026"/>
      <c r="I1002" s="1026"/>
      <c r="J1002" s="1026"/>
      <c r="K1002" s="1026"/>
      <c r="L1002" s="1026"/>
      <c r="M1002" s="1026"/>
      <c r="N1002" s="1026"/>
      <c r="O1002" s="1026"/>
      <c r="P1002" s="1026"/>
      <c r="Q1002" s="1026"/>
      <c r="R1002" s="1026"/>
      <c r="S1002" s="1026"/>
      <c r="T1002" s="1026"/>
      <c r="U1002" s="1026"/>
      <c r="V1002" s="1026"/>
      <c r="W1002" s="1026"/>
      <c r="X1002" s="1026"/>
      <c r="Y1002" s="1026"/>
      <c r="Z1002" s="1026"/>
    </row>
    <row r="1003" spans="1:26">
      <c r="A1003" s="1026"/>
      <c r="B1003" s="1026"/>
      <c r="C1003" s="1026"/>
      <c r="D1003" s="1026"/>
      <c r="E1003" s="1026"/>
      <c r="F1003" s="1026"/>
      <c r="G1003" s="1026"/>
      <c r="H1003" s="1026"/>
      <c r="I1003" s="1026"/>
      <c r="J1003" s="1026"/>
      <c r="K1003" s="1026"/>
      <c r="L1003" s="1026"/>
      <c r="M1003" s="1026"/>
      <c r="N1003" s="1026"/>
      <c r="O1003" s="1026"/>
      <c r="P1003" s="1026"/>
      <c r="Q1003" s="1026"/>
      <c r="R1003" s="1026"/>
      <c r="S1003" s="1026"/>
      <c r="T1003" s="1026"/>
      <c r="U1003" s="1026"/>
      <c r="V1003" s="1026"/>
      <c r="W1003" s="1026"/>
      <c r="X1003" s="1026"/>
      <c r="Y1003" s="1026"/>
      <c r="Z1003" s="1026"/>
    </row>
    <row r="1004" spans="1:26">
      <c r="A1004" s="1026"/>
      <c r="B1004" s="1026"/>
      <c r="C1004" s="1026"/>
      <c r="D1004" s="1026"/>
      <c r="E1004" s="1026"/>
      <c r="F1004" s="1026"/>
      <c r="G1004" s="1026"/>
      <c r="H1004" s="1026"/>
      <c r="I1004" s="1026"/>
      <c r="J1004" s="1026"/>
      <c r="K1004" s="1026"/>
      <c r="L1004" s="1026"/>
      <c r="M1004" s="1026"/>
      <c r="N1004" s="1026"/>
      <c r="O1004" s="1026"/>
      <c r="P1004" s="1026"/>
      <c r="Q1004" s="1026"/>
      <c r="R1004" s="1026"/>
      <c r="S1004" s="1026"/>
      <c r="T1004" s="1026"/>
      <c r="U1004" s="1026"/>
      <c r="V1004" s="1026"/>
      <c r="W1004" s="1026"/>
      <c r="X1004" s="1026"/>
      <c r="Y1004" s="1026"/>
      <c r="Z1004" s="1026"/>
    </row>
    <row r="1005" spans="1:26">
      <c r="A1005" s="1026"/>
      <c r="B1005" s="1026"/>
      <c r="C1005" s="1026"/>
      <c r="D1005" s="1026"/>
      <c r="E1005" s="1026"/>
      <c r="F1005" s="1026"/>
      <c r="G1005" s="1026"/>
      <c r="H1005" s="1026"/>
      <c r="I1005" s="1026"/>
      <c r="J1005" s="1026"/>
      <c r="K1005" s="1026"/>
      <c r="L1005" s="1026"/>
      <c r="M1005" s="1026"/>
      <c r="N1005" s="1026"/>
      <c r="O1005" s="1026"/>
      <c r="P1005" s="1026"/>
      <c r="Q1005" s="1026"/>
      <c r="R1005" s="1026"/>
      <c r="S1005" s="1026"/>
      <c r="T1005" s="1026"/>
      <c r="U1005" s="1026"/>
      <c r="V1005" s="1026"/>
      <c r="W1005" s="1026"/>
      <c r="X1005" s="1026"/>
      <c r="Y1005" s="1026"/>
      <c r="Z1005" s="1026"/>
    </row>
    <row r="1006" spans="1:26">
      <c r="A1006" s="1026"/>
      <c r="B1006" s="1026"/>
      <c r="C1006" s="1026"/>
      <c r="D1006" s="1026"/>
      <c r="E1006" s="1026"/>
      <c r="F1006" s="1026"/>
      <c r="G1006" s="1026"/>
      <c r="H1006" s="1026"/>
      <c r="I1006" s="1026"/>
      <c r="J1006" s="1026"/>
      <c r="K1006" s="1026"/>
      <c r="L1006" s="1026"/>
      <c r="M1006" s="1026"/>
      <c r="N1006" s="1026"/>
      <c r="O1006" s="1026"/>
      <c r="P1006" s="1026"/>
      <c r="Q1006" s="1026"/>
      <c r="R1006" s="1026"/>
      <c r="S1006" s="1026"/>
      <c r="T1006" s="1026"/>
      <c r="U1006" s="1026"/>
      <c r="V1006" s="1026"/>
      <c r="W1006" s="1026"/>
      <c r="X1006" s="1026"/>
      <c r="Y1006" s="1026"/>
      <c r="Z1006" s="1026"/>
    </row>
    <row r="1007" spans="1:26">
      <c r="A1007" s="1026"/>
      <c r="B1007" s="1026"/>
      <c r="C1007" s="1026"/>
      <c r="D1007" s="1026"/>
      <c r="E1007" s="1026"/>
      <c r="F1007" s="1026"/>
      <c r="G1007" s="1026"/>
      <c r="H1007" s="1026"/>
      <c r="I1007" s="1026"/>
      <c r="J1007" s="1026"/>
      <c r="K1007" s="1026"/>
      <c r="L1007" s="1026"/>
      <c r="M1007" s="1026"/>
      <c r="N1007" s="1026"/>
      <c r="O1007" s="1026"/>
      <c r="P1007" s="1026"/>
      <c r="Q1007" s="1026"/>
      <c r="R1007" s="1026"/>
      <c r="S1007" s="1026"/>
      <c r="T1007" s="1026"/>
      <c r="U1007" s="1026"/>
      <c r="V1007" s="1026"/>
      <c r="W1007" s="1026"/>
      <c r="X1007" s="1026"/>
      <c r="Y1007" s="1026"/>
      <c r="Z1007" s="1026"/>
    </row>
    <row r="1008" spans="1:26">
      <c r="A1008" s="1026"/>
      <c r="B1008" s="1026"/>
      <c r="C1008" s="1026"/>
      <c r="D1008" s="1026"/>
      <c r="E1008" s="1026"/>
      <c r="F1008" s="1026"/>
      <c r="G1008" s="1026"/>
      <c r="H1008" s="1026"/>
      <c r="I1008" s="1026"/>
      <c r="J1008" s="1026"/>
      <c r="K1008" s="1026"/>
      <c r="L1008" s="1026"/>
      <c r="M1008" s="1026"/>
      <c r="N1008" s="1026"/>
      <c r="O1008" s="1026"/>
      <c r="P1008" s="1026"/>
      <c r="Q1008" s="1026"/>
      <c r="R1008" s="1026"/>
      <c r="S1008" s="1026"/>
      <c r="T1008" s="1026"/>
      <c r="U1008" s="1026"/>
      <c r="V1008" s="1026"/>
      <c r="W1008" s="1026"/>
      <c r="X1008" s="1026"/>
      <c r="Y1008" s="1026"/>
      <c r="Z1008" s="1026"/>
    </row>
  </sheetData>
  <mergeCells count="5">
    <mergeCell ref="A54:E54"/>
    <mergeCell ref="A15:F15"/>
    <mergeCell ref="A28:E28"/>
    <mergeCell ref="A2:F2"/>
    <mergeCell ref="A41:E41"/>
  </mergeCells>
  <pageMargins left="0.7" right="0.7" top="0.75" bottom="0.75" header="0.3" footer="0.3"/>
  <pageSetup orientation="portrait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workbookViewId="0">
      <selection activeCell="A3" sqref="A3:H14"/>
    </sheetView>
  </sheetViews>
  <sheetFormatPr baseColWidth="10" defaultRowHeight="12.75"/>
  <cols>
    <col min="1" max="1" width="33" style="1228" customWidth="1"/>
    <col min="2" max="8" width="10.28515625" style="1228" customWidth="1"/>
    <col min="9" max="16384" width="11.42578125" style="1228"/>
  </cols>
  <sheetData>
    <row r="1" spans="1:10">
      <c r="A1" s="1228" t="s">
        <v>821</v>
      </c>
    </row>
    <row r="2" spans="1:10" ht="13.5" thickBot="1"/>
    <row r="3" spans="1:10" ht="18" customHeight="1">
      <c r="A3" s="2167" t="s">
        <v>813</v>
      </c>
      <c r="B3" s="2171">
        <v>2020</v>
      </c>
      <c r="C3" s="2171"/>
      <c r="D3" s="2171"/>
      <c r="E3" s="2171">
        <v>2021</v>
      </c>
      <c r="F3" s="2171"/>
      <c r="G3" s="2171"/>
      <c r="H3" s="2169" t="s">
        <v>262</v>
      </c>
    </row>
    <row r="4" spans="1:10" ht="18" customHeight="1">
      <c r="A4" s="2168"/>
      <c r="B4" s="1230" t="s">
        <v>812</v>
      </c>
      <c r="C4" s="1230" t="s">
        <v>811</v>
      </c>
      <c r="D4" s="1231" t="s">
        <v>233</v>
      </c>
      <c r="E4" s="1230" t="s">
        <v>812</v>
      </c>
      <c r="F4" s="1230" t="s">
        <v>811</v>
      </c>
      <c r="G4" s="1231" t="s">
        <v>233</v>
      </c>
      <c r="H4" s="2170"/>
    </row>
    <row r="5" spans="1:10" ht="15" customHeight="1">
      <c r="A5" s="1232" t="s">
        <v>814</v>
      </c>
      <c r="B5" s="1233">
        <v>545</v>
      </c>
      <c r="C5" s="1233">
        <v>40</v>
      </c>
      <c r="D5" s="1234">
        <v>585</v>
      </c>
      <c r="E5" s="1233">
        <v>43</v>
      </c>
      <c r="F5" s="1233">
        <v>8</v>
      </c>
      <c r="G5" s="1234">
        <v>51</v>
      </c>
      <c r="H5" s="1235">
        <v>636</v>
      </c>
    </row>
    <row r="6" spans="1:10" ht="15" customHeight="1">
      <c r="A6" s="1236" t="s">
        <v>815</v>
      </c>
      <c r="B6" s="1237">
        <v>452</v>
      </c>
      <c r="C6" s="1237">
        <v>25</v>
      </c>
      <c r="D6" s="1238">
        <v>477</v>
      </c>
      <c r="E6" s="1237">
        <v>42</v>
      </c>
      <c r="F6" s="1237">
        <v>7</v>
      </c>
      <c r="G6" s="1238">
        <v>49</v>
      </c>
      <c r="H6" s="1239">
        <v>526</v>
      </c>
    </row>
    <row r="7" spans="1:10" ht="15" customHeight="1">
      <c r="A7" s="1240" t="s">
        <v>816</v>
      </c>
      <c r="B7" s="1241">
        <v>23</v>
      </c>
      <c r="C7" s="1241">
        <v>2</v>
      </c>
      <c r="D7" s="1242">
        <v>25</v>
      </c>
      <c r="E7" s="1241">
        <v>2</v>
      </c>
      <c r="F7" s="1241">
        <v>0</v>
      </c>
      <c r="G7" s="1242">
        <v>2</v>
      </c>
      <c r="H7" s="1243">
        <v>27</v>
      </c>
    </row>
    <row r="8" spans="1:10" ht="15" customHeight="1">
      <c r="A8" s="1236" t="s">
        <v>817</v>
      </c>
      <c r="B8" s="1237">
        <v>2</v>
      </c>
      <c r="C8" s="1237">
        <v>0</v>
      </c>
      <c r="D8" s="1238">
        <v>2</v>
      </c>
      <c r="E8" s="1237">
        <v>0</v>
      </c>
      <c r="F8" s="1237">
        <v>1</v>
      </c>
      <c r="G8" s="1238">
        <v>1</v>
      </c>
      <c r="H8" s="1239">
        <v>3</v>
      </c>
    </row>
    <row r="9" spans="1:10" ht="15" customHeight="1">
      <c r="A9" s="1240" t="s">
        <v>818</v>
      </c>
      <c r="B9" s="1241">
        <v>39</v>
      </c>
      <c r="C9" s="1241">
        <v>2</v>
      </c>
      <c r="D9" s="1242">
        <v>41</v>
      </c>
      <c r="E9" s="1241">
        <v>7</v>
      </c>
      <c r="F9" s="1241">
        <v>2</v>
      </c>
      <c r="G9" s="1242">
        <v>9</v>
      </c>
      <c r="H9" s="1243">
        <v>50</v>
      </c>
    </row>
    <row r="10" spans="1:10" ht="15" customHeight="1">
      <c r="A10" s="1236" t="s">
        <v>819</v>
      </c>
      <c r="B10" s="1237">
        <v>1</v>
      </c>
      <c r="C10" s="1237">
        <v>4</v>
      </c>
      <c r="D10" s="1238">
        <v>5</v>
      </c>
      <c r="E10" s="1237">
        <v>1</v>
      </c>
      <c r="F10" s="1237">
        <v>2</v>
      </c>
      <c r="G10" s="1238">
        <v>3</v>
      </c>
      <c r="H10" s="1239">
        <v>8</v>
      </c>
    </row>
    <row r="11" spans="1:10" ht="15" customHeight="1">
      <c r="A11" s="1244" t="s">
        <v>820</v>
      </c>
      <c r="B11" s="1245">
        <v>50</v>
      </c>
      <c r="C11" s="1245">
        <v>8</v>
      </c>
      <c r="D11" s="1246">
        <v>58</v>
      </c>
      <c r="E11" s="1245">
        <v>2</v>
      </c>
      <c r="F11" s="1245">
        <v>0</v>
      </c>
      <c r="G11" s="1246">
        <v>2</v>
      </c>
      <c r="H11" s="1247">
        <v>60</v>
      </c>
    </row>
    <row r="12" spans="1:10" ht="18" customHeight="1" thickBot="1">
      <c r="A12" s="1248" t="s">
        <v>262</v>
      </c>
      <c r="B12" s="1249">
        <v>1112</v>
      </c>
      <c r="C12" s="1249">
        <v>81</v>
      </c>
      <c r="D12" s="1249">
        <v>1193</v>
      </c>
      <c r="E12" s="1249">
        <v>97</v>
      </c>
      <c r="F12" s="1249">
        <v>20</v>
      </c>
      <c r="G12" s="1249">
        <v>117</v>
      </c>
      <c r="H12" s="1250">
        <v>1310</v>
      </c>
    </row>
    <row r="13" spans="1:10" ht="18" customHeight="1">
      <c r="A13" s="2172" t="s">
        <v>28</v>
      </c>
      <c r="B13" s="1251">
        <f>+B12/D12</f>
        <v>0.93210393964794636</v>
      </c>
      <c r="C13" s="1251">
        <f>+C12/D12</f>
        <v>6.7896060352053644E-2</v>
      </c>
      <c r="D13" s="1251">
        <f>SUM(B13:C13)</f>
        <v>1</v>
      </c>
      <c r="E13" s="1251">
        <f>+E12/G12</f>
        <v>0.82905982905982911</v>
      </c>
      <c r="F13" s="1251">
        <f>+F12/G12</f>
        <v>0.17094017094017094</v>
      </c>
      <c r="G13" s="1251">
        <f>SUM(E13:F13)</f>
        <v>1</v>
      </c>
      <c r="H13" s="2175">
        <f>+B14+E14</f>
        <v>1</v>
      </c>
    </row>
    <row r="14" spans="1:10" ht="18" customHeight="1" thickBot="1">
      <c r="A14" s="2173"/>
      <c r="B14" s="2174">
        <f>+D12/H12</f>
        <v>0.91068702290076331</v>
      </c>
      <c r="C14" s="2174"/>
      <c r="D14" s="2174"/>
      <c r="E14" s="2174">
        <f>+G12/H12</f>
        <v>8.9312977099236635E-2</v>
      </c>
      <c r="F14" s="2174"/>
      <c r="G14" s="2174"/>
      <c r="H14" s="2176"/>
    </row>
    <row r="16" spans="1:10">
      <c r="D16" s="1229"/>
      <c r="E16" s="1229"/>
      <c r="F16" s="1229"/>
      <c r="G16" s="1229"/>
      <c r="J16" s="1229"/>
    </row>
    <row r="17" spans="4:7">
      <c r="D17" s="1229"/>
      <c r="E17" s="1229"/>
      <c r="F17" s="1229"/>
      <c r="G17" s="1229"/>
    </row>
  </sheetData>
  <mergeCells count="8">
    <mergeCell ref="A3:A4"/>
    <mergeCell ref="H3:H4"/>
    <mergeCell ref="B3:D3"/>
    <mergeCell ref="E3:G3"/>
    <mergeCell ref="A13:A14"/>
    <mergeCell ref="B14:D14"/>
    <mergeCell ref="E14:G14"/>
    <mergeCell ref="H13:H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00CC00"/>
  </sheetPr>
  <dimension ref="A1:Q154"/>
  <sheetViews>
    <sheetView showGridLines="0" zoomScale="80" zoomScaleNormal="80" workbookViewId="0">
      <selection activeCell="D10" sqref="D10:D142"/>
    </sheetView>
  </sheetViews>
  <sheetFormatPr baseColWidth="10" defaultColWidth="14.42578125" defaultRowHeight="15"/>
  <cols>
    <col min="1" max="1" width="8" style="126" customWidth="1"/>
    <col min="2" max="2" width="5.140625" style="126" bestFit="1" customWidth="1"/>
    <col min="3" max="3" width="14.42578125" style="246"/>
    <col min="4" max="4" width="31.7109375" style="246" customWidth="1"/>
    <col min="5" max="5" width="8.28515625" style="126" customWidth="1"/>
    <col min="6" max="6" width="10.140625" style="126" customWidth="1"/>
    <col min="7" max="13" width="8.28515625" style="126" customWidth="1"/>
    <col min="14" max="14" width="11.28515625" style="126" customWidth="1"/>
    <col min="15" max="16" width="8.28515625" style="126" customWidth="1"/>
    <col min="17" max="17" width="2" style="126" bestFit="1" customWidth="1"/>
    <col min="18" max="16384" width="14.42578125" style="126"/>
  </cols>
  <sheetData>
    <row r="1" spans="1:17" ht="32.25" customHeight="1">
      <c r="A1" s="89"/>
      <c r="B1" s="90"/>
      <c r="E1" s="1715" t="str">
        <f>[1]Parametros!X3</f>
        <v/>
      </c>
      <c r="F1" s="1713"/>
      <c r="G1" s="1713"/>
      <c r="H1" s="1713"/>
      <c r="I1" s="1713"/>
      <c r="J1" s="1713"/>
      <c r="K1" s="1712" t="str">
        <f>[1]Parametros!X4</f>
        <v/>
      </c>
      <c r="L1" s="1713"/>
      <c r="M1" s="1713"/>
      <c r="N1" s="1713"/>
      <c r="O1" s="1713"/>
      <c r="P1" s="1713"/>
      <c r="Q1" s="1713"/>
    </row>
    <row r="2" spans="1:17" ht="13.5" customHeight="1">
      <c r="A2" s="89"/>
      <c r="B2" s="90"/>
      <c r="E2" s="1713"/>
      <c r="F2" s="1713"/>
      <c r="G2" s="1713"/>
      <c r="H2" s="1713"/>
      <c r="I2" s="1713"/>
      <c r="J2" s="1713"/>
      <c r="K2" s="1713"/>
      <c r="L2" s="1713"/>
      <c r="M2" s="1713"/>
      <c r="N2" s="1713"/>
      <c r="O2" s="1713"/>
      <c r="P2" s="1713"/>
      <c r="Q2" s="1713"/>
    </row>
    <row r="3" spans="1:17" ht="18.75" customHeight="1">
      <c r="A3" s="91"/>
      <c r="B3" s="92"/>
      <c r="E3" s="1714"/>
      <c r="F3" s="1714"/>
      <c r="G3" s="1714"/>
      <c r="H3" s="1714"/>
      <c r="I3" s="1714"/>
      <c r="J3" s="1714"/>
      <c r="K3" s="1714"/>
      <c r="L3" s="1714"/>
      <c r="M3" s="1714"/>
      <c r="N3" s="1714"/>
      <c r="O3" s="1714"/>
      <c r="P3" s="1714"/>
      <c r="Q3" s="1714"/>
    </row>
    <row r="4" spans="1:17" ht="2.25" customHeight="1">
      <c r="A4" s="91"/>
      <c r="B4" s="92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7" ht="9" customHeight="1">
      <c r="A5" s="91"/>
      <c r="B5" s="92"/>
    </row>
    <row r="6" spans="1:17" ht="15" customHeight="1">
      <c r="E6" s="1724">
        <v>44561</v>
      </c>
      <c r="F6" s="1725"/>
      <c r="G6" s="1726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1:17" ht="15" customHeight="1">
      <c r="A7" s="108"/>
      <c r="E7" s="1727" t="s">
        <v>140</v>
      </c>
      <c r="F7" s="1728"/>
      <c r="G7" s="1729"/>
      <c r="H7" s="1730" t="s">
        <v>141</v>
      </c>
      <c r="I7" s="1731"/>
      <c r="J7" s="1731"/>
      <c r="K7" s="1731"/>
      <c r="L7" s="1731"/>
      <c r="M7" s="1731"/>
      <c r="N7" s="109"/>
      <c r="O7" s="109"/>
      <c r="P7" s="109"/>
      <c r="Q7" s="109"/>
    </row>
    <row r="8" spans="1:17" ht="15.75" customHeight="1">
      <c r="A8" s="110"/>
      <c r="E8" s="1716" t="s">
        <v>142</v>
      </c>
      <c r="F8" s="1718" t="s">
        <v>143</v>
      </c>
      <c r="G8" s="1719"/>
      <c r="H8" s="1720" t="s">
        <v>8</v>
      </c>
      <c r="I8" s="1711"/>
      <c r="J8" s="1721"/>
      <c r="K8" s="1720" t="s">
        <v>9</v>
      </c>
      <c r="L8" s="1711"/>
      <c r="M8" s="1721"/>
      <c r="N8" s="1722" t="s">
        <v>119</v>
      </c>
      <c r="O8" s="1710" t="s">
        <v>144</v>
      </c>
      <c r="P8" s="1711"/>
      <c r="Q8" s="111"/>
    </row>
    <row r="9" spans="1:17" ht="15.75" customHeight="1">
      <c r="A9" s="108"/>
      <c r="B9" s="85" t="s">
        <v>145</v>
      </c>
      <c r="C9" s="85" t="s">
        <v>86</v>
      </c>
      <c r="D9" s="85" t="s">
        <v>57</v>
      </c>
      <c r="E9" s="1717"/>
      <c r="F9" s="113" t="s">
        <v>45</v>
      </c>
      <c r="G9" s="113" t="s">
        <v>77</v>
      </c>
      <c r="H9" s="113" t="s">
        <v>45</v>
      </c>
      <c r="I9" s="113" t="s">
        <v>77</v>
      </c>
      <c r="J9" s="113" t="s">
        <v>146</v>
      </c>
      <c r="K9" s="113" t="s">
        <v>45</v>
      </c>
      <c r="L9" s="113" t="s">
        <v>77</v>
      </c>
      <c r="M9" s="113" t="s">
        <v>146</v>
      </c>
      <c r="N9" s="1723"/>
      <c r="O9" s="113" t="s">
        <v>147</v>
      </c>
      <c r="P9" s="113" t="s">
        <v>148</v>
      </c>
      <c r="Q9" s="111"/>
    </row>
    <row r="10" spans="1:17" ht="15.75" customHeight="1">
      <c r="A10" s="94" t="e">
        <f>LEFT(#REF!,3)</f>
        <v>#REF!</v>
      </c>
      <c r="B10" s="87">
        <v>1</v>
      </c>
      <c r="C10" s="705" t="s">
        <v>573</v>
      </c>
      <c r="D10" s="706" t="str">
        <f>+'ERON 2021'!A2</f>
        <v>EPMSCLET Leticia</v>
      </c>
      <c r="E10" s="707">
        <v>118</v>
      </c>
      <c r="F10" s="708">
        <v>135</v>
      </c>
      <c r="G10" s="708">
        <v>6</v>
      </c>
      <c r="H10" s="708">
        <v>75</v>
      </c>
      <c r="I10" s="708">
        <v>2</v>
      </c>
      <c r="J10" s="709">
        <v>77</v>
      </c>
      <c r="K10" s="708">
        <v>60</v>
      </c>
      <c r="L10" s="708">
        <v>4</v>
      </c>
      <c r="M10" s="709">
        <v>64</v>
      </c>
      <c r="N10" s="710">
        <f>+F10+G10</f>
        <v>141</v>
      </c>
      <c r="O10" s="96">
        <f t="shared" ref="O10:O41" si="0">N10-E10</f>
        <v>23</v>
      </c>
      <c r="P10" s="97">
        <f t="shared" ref="P10:P41" si="1">IFERROR((N10/E10)-100%,0)</f>
        <v>0.19491525423728806</v>
      </c>
      <c r="Q10" s="98"/>
    </row>
    <row r="11" spans="1:17" ht="15.75" customHeight="1">
      <c r="A11" s="94" t="e">
        <f>LEFT(#REF!,3)</f>
        <v>#REF!</v>
      </c>
      <c r="B11" s="88">
        <v>2</v>
      </c>
      <c r="C11" s="711" t="s">
        <v>573</v>
      </c>
      <c r="D11" s="706" t="str">
        <f>+'ERON 2021'!A3</f>
        <v>EPMSCSRV Santa Rosa de Viterbo</v>
      </c>
      <c r="E11" s="712">
        <v>320</v>
      </c>
      <c r="F11" s="708">
        <v>341</v>
      </c>
      <c r="G11" s="708">
        <v>0</v>
      </c>
      <c r="H11" s="708">
        <v>53</v>
      </c>
      <c r="I11" s="708">
        <v>0</v>
      </c>
      <c r="J11" s="709">
        <v>53</v>
      </c>
      <c r="K11" s="708">
        <v>288</v>
      </c>
      <c r="L11" s="708">
        <v>0</v>
      </c>
      <c r="M11" s="709">
        <v>288</v>
      </c>
      <c r="N11" s="710">
        <f t="shared" ref="N11:N74" si="2">+F11+G11</f>
        <v>341</v>
      </c>
      <c r="O11" s="96">
        <f t="shared" si="0"/>
        <v>21</v>
      </c>
      <c r="P11" s="97">
        <f t="shared" si="1"/>
        <v>6.5625000000000044E-2</v>
      </c>
      <c r="Q11" s="98"/>
    </row>
    <row r="12" spans="1:17" ht="15.75" customHeight="1">
      <c r="A12" s="94" t="e">
        <f>LEFT(#REF!,3)</f>
        <v>#REF!</v>
      </c>
      <c r="B12" s="88">
        <v>3</v>
      </c>
      <c r="C12" s="711" t="s">
        <v>573</v>
      </c>
      <c r="D12" s="706" t="str">
        <f>+'ERON 2021'!A4</f>
        <v>CPMSCHI Chiquinquirá</v>
      </c>
      <c r="E12" s="712">
        <v>322</v>
      </c>
      <c r="F12" s="708">
        <v>351</v>
      </c>
      <c r="G12" s="708">
        <v>0</v>
      </c>
      <c r="H12" s="708">
        <v>26</v>
      </c>
      <c r="I12" s="708">
        <v>0</v>
      </c>
      <c r="J12" s="709">
        <v>26</v>
      </c>
      <c r="K12" s="708">
        <v>325</v>
      </c>
      <c r="L12" s="708">
        <v>0</v>
      </c>
      <c r="M12" s="709">
        <v>325</v>
      </c>
      <c r="N12" s="710">
        <f t="shared" si="2"/>
        <v>351</v>
      </c>
      <c r="O12" s="96">
        <f t="shared" si="0"/>
        <v>29</v>
      </c>
      <c r="P12" s="97">
        <f t="shared" si="1"/>
        <v>9.0062111801242128E-2</v>
      </c>
      <c r="Q12" s="98"/>
    </row>
    <row r="13" spans="1:17" ht="15.75" customHeight="1">
      <c r="A13" s="94" t="e">
        <f>LEFT(#REF!,3)</f>
        <v>#REF!</v>
      </c>
      <c r="B13" s="87">
        <v>4</v>
      </c>
      <c r="C13" s="711" t="s">
        <v>573</v>
      </c>
      <c r="D13" s="706" t="str">
        <f>+'ERON 2021'!A5</f>
        <v>EPMSCDUI Duitama</v>
      </c>
      <c r="E13" s="712">
        <v>306</v>
      </c>
      <c r="F13" s="708">
        <v>373</v>
      </c>
      <c r="G13" s="708">
        <v>0</v>
      </c>
      <c r="H13" s="708">
        <v>61</v>
      </c>
      <c r="I13" s="708">
        <v>0</v>
      </c>
      <c r="J13" s="709">
        <v>61</v>
      </c>
      <c r="K13" s="708">
        <v>312</v>
      </c>
      <c r="L13" s="708">
        <v>0</v>
      </c>
      <c r="M13" s="709">
        <v>312</v>
      </c>
      <c r="N13" s="710">
        <f t="shared" si="2"/>
        <v>373</v>
      </c>
      <c r="O13" s="96">
        <f t="shared" si="0"/>
        <v>67</v>
      </c>
      <c r="P13" s="97">
        <f t="shared" si="1"/>
        <v>0.21895424836601318</v>
      </c>
      <c r="Q13" s="98"/>
    </row>
    <row r="14" spans="1:17" ht="15.75" customHeight="1">
      <c r="A14" s="94" t="e">
        <f>LEFT(#REF!,3)</f>
        <v>#REF!</v>
      </c>
      <c r="B14" s="87">
        <v>5</v>
      </c>
      <c r="C14" s="711" t="s">
        <v>573</v>
      </c>
      <c r="D14" s="706" t="str">
        <f>+'ERON 2021'!A6</f>
        <v>CPMSGAR Garagoa</v>
      </c>
      <c r="E14" s="712">
        <v>37</v>
      </c>
      <c r="F14" s="708">
        <v>0</v>
      </c>
      <c r="G14" s="708">
        <v>0</v>
      </c>
      <c r="H14" s="708">
        <v>0</v>
      </c>
      <c r="I14" s="708">
        <v>0</v>
      </c>
      <c r="J14" s="709">
        <v>0</v>
      </c>
      <c r="K14" s="708">
        <v>0</v>
      </c>
      <c r="L14" s="708">
        <v>0</v>
      </c>
      <c r="M14" s="709">
        <v>0</v>
      </c>
      <c r="N14" s="710">
        <f t="shared" si="2"/>
        <v>0</v>
      </c>
      <c r="O14" s="96">
        <f t="shared" si="0"/>
        <v>-37</v>
      </c>
      <c r="P14" s="97">
        <f t="shared" si="1"/>
        <v>-1</v>
      </c>
      <c r="Q14" s="98"/>
    </row>
    <row r="15" spans="1:17" ht="15.75" customHeight="1">
      <c r="A15" s="94" t="e">
        <f>LEFT(#REF!,3)</f>
        <v>#REF!</v>
      </c>
      <c r="B15" s="88">
        <v>6</v>
      </c>
      <c r="C15" s="711" t="s">
        <v>573</v>
      </c>
      <c r="D15" s="706" t="str">
        <f>+'ERON 2021'!A7</f>
        <v>EPMSCGTQ Guateque</v>
      </c>
      <c r="E15" s="712">
        <v>55</v>
      </c>
      <c r="F15" s="708">
        <v>57</v>
      </c>
      <c r="G15" s="708">
        <v>0</v>
      </c>
      <c r="H15" s="708">
        <v>12</v>
      </c>
      <c r="I15" s="708">
        <v>0</v>
      </c>
      <c r="J15" s="709">
        <v>12</v>
      </c>
      <c r="K15" s="708">
        <v>45</v>
      </c>
      <c r="L15" s="708">
        <v>0</v>
      </c>
      <c r="M15" s="709">
        <v>45</v>
      </c>
      <c r="N15" s="710">
        <f t="shared" si="2"/>
        <v>57</v>
      </c>
      <c r="O15" s="96">
        <f t="shared" si="0"/>
        <v>2</v>
      </c>
      <c r="P15" s="97">
        <f t="shared" si="1"/>
        <v>3.6363636363636376E-2</v>
      </c>
      <c r="Q15" s="98"/>
    </row>
    <row r="16" spans="1:17" ht="15.75" customHeight="1">
      <c r="A16" s="94" t="e">
        <f>LEFT(#REF!,3)</f>
        <v>#REF!</v>
      </c>
      <c r="B16" s="88">
        <v>7</v>
      </c>
      <c r="C16" s="711" t="s">
        <v>573</v>
      </c>
      <c r="D16" s="706" t="str">
        <f>+'ERON 2021'!A8</f>
        <v>CPMSMOQ Moniquirá</v>
      </c>
      <c r="E16" s="712">
        <v>73</v>
      </c>
      <c r="F16" s="708">
        <v>102</v>
      </c>
      <c r="G16" s="708">
        <v>0</v>
      </c>
      <c r="H16" s="708">
        <v>17</v>
      </c>
      <c r="I16" s="708">
        <v>0</v>
      </c>
      <c r="J16" s="709">
        <v>17</v>
      </c>
      <c r="K16" s="708">
        <v>85</v>
      </c>
      <c r="L16" s="708">
        <v>0</v>
      </c>
      <c r="M16" s="709">
        <v>85</v>
      </c>
      <c r="N16" s="710">
        <f t="shared" si="2"/>
        <v>102</v>
      </c>
      <c r="O16" s="96">
        <f t="shared" si="0"/>
        <v>29</v>
      </c>
      <c r="P16" s="97">
        <f t="shared" si="1"/>
        <v>0.39726027397260277</v>
      </c>
      <c r="Q16" s="98"/>
    </row>
    <row r="17" spans="1:17" ht="15.75" customHeight="1">
      <c r="A17" s="94" t="e">
        <f>LEFT(#REF!,3)</f>
        <v>#REF!</v>
      </c>
      <c r="B17" s="87">
        <v>8</v>
      </c>
      <c r="C17" s="711" t="s">
        <v>573</v>
      </c>
      <c r="D17" s="706" t="str">
        <f>+'ERON 2021'!A9</f>
        <v>CPMSRAM Ramiriquí</v>
      </c>
      <c r="E17" s="712">
        <v>122</v>
      </c>
      <c r="F17" s="708">
        <v>144</v>
      </c>
      <c r="G17" s="708">
        <v>0</v>
      </c>
      <c r="H17" s="708">
        <v>29</v>
      </c>
      <c r="I17" s="708">
        <v>0</v>
      </c>
      <c r="J17" s="709">
        <v>29</v>
      </c>
      <c r="K17" s="708">
        <v>115</v>
      </c>
      <c r="L17" s="708">
        <v>0</v>
      </c>
      <c r="M17" s="709">
        <v>115</v>
      </c>
      <c r="N17" s="710">
        <f t="shared" si="2"/>
        <v>144</v>
      </c>
      <c r="O17" s="96">
        <f t="shared" si="0"/>
        <v>22</v>
      </c>
      <c r="P17" s="97">
        <f t="shared" si="1"/>
        <v>0.18032786885245899</v>
      </c>
      <c r="Q17" s="98"/>
    </row>
    <row r="18" spans="1:17" ht="15.75" customHeight="1">
      <c r="A18" s="94" t="e">
        <f>LEFT(#REF!,3)</f>
        <v>#REF!</v>
      </c>
      <c r="B18" s="87">
        <v>9</v>
      </c>
      <c r="C18" s="711" t="s">
        <v>573</v>
      </c>
      <c r="D18" s="706" t="str">
        <f>+'ERON 2021'!A10</f>
        <v>EPMSCSOG-RM-JP Sogamoso</v>
      </c>
      <c r="E18" s="712">
        <v>395</v>
      </c>
      <c r="F18" s="708">
        <v>388</v>
      </c>
      <c r="G18" s="708">
        <v>128</v>
      </c>
      <c r="H18" s="708">
        <v>77</v>
      </c>
      <c r="I18" s="708">
        <v>51</v>
      </c>
      <c r="J18" s="709">
        <v>128</v>
      </c>
      <c r="K18" s="708">
        <v>311</v>
      </c>
      <c r="L18" s="708">
        <v>77</v>
      </c>
      <c r="M18" s="709">
        <v>388</v>
      </c>
      <c r="N18" s="710">
        <f t="shared" si="2"/>
        <v>516</v>
      </c>
      <c r="O18" s="96">
        <f t="shared" si="0"/>
        <v>121</v>
      </c>
      <c r="P18" s="97">
        <f t="shared" si="1"/>
        <v>0.30632911392405071</v>
      </c>
      <c r="Q18" s="98"/>
    </row>
    <row r="19" spans="1:17" ht="15.75" customHeight="1">
      <c r="A19" s="94" t="e">
        <f>LEFT(#REF!,3)</f>
        <v>#REF!</v>
      </c>
      <c r="B19" s="1101">
        <v>10</v>
      </c>
      <c r="C19" s="711" t="s">
        <v>573</v>
      </c>
      <c r="D19" s="706" t="str">
        <f>+'ERON 2021'!A11</f>
        <v>COBOG-ERE-JP Bogotá</v>
      </c>
      <c r="E19" s="712">
        <v>5970</v>
      </c>
      <c r="F19" s="708">
        <v>6873</v>
      </c>
      <c r="G19" s="708">
        <v>4</v>
      </c>
      <c r="H19" s="708">
        <v>1703</v>
      </c>
      <c r="I19" s="708">
        <v>0</v>
      </c>
      <c r="J19" s="709">
        <v>1703</v>
      </c>
      <c r="K19" s="708">
        <v>5170</v>
      </c>
      <c r="L19" s="708">
        <v>4</v>
      </c>
      <c r="M19" s="709">
        <v>5174</v>
      </c>
      <c r="N19" s="710">
        <f t="shared" si="2"/>
        <v>6877</v>
      </c>
      <c r="O19" s="96">
        <f t="shared" si="0"/>
        <v>907</v>
      </c>
      <c r="P19" s="97">
        <f t="shared" si="1"/>
        <v>0.15192629815745384</v>
      </c>
      <c r="Q19" s="98"/>
    </row>
    <row r="20" spans="1:17" ht="15.75" customHeight="1">
      <c r="A20" s="94" t="e">
        <f>LEFT(#REF!,3)</f>
        <v>#REF!</v>
      </c>
      <c r="B20" s="88">
        <v>11</v>
      </c>
      <c r="C20" s="711" t="s">
        <v>573</v>
      </c>
      <c r="D20" s="706" t="str">
        <f>+'ERON 2021'!A12</f>
        <v>CPMSBOG - Bogotá</v>
      </c>
      <c r="E20" s="712">
        <v>2905</v>
      </c>
      <c r="F20" s="708">
        <v>3360</v>
      </c>
      <c r="G20" s="708">
        <v>0</v>
      </c>
      <c r="H20" s="708">
        <v>917</v>
      </c>
      <c r="I20" s="708">
        <v>0</v>
      </c>
      <c r="J20" s="709">
        <v>917</v>
      </c>
      <c r="K20" s="708">
        <v>2443</v>
      </c>
      <c r="L20" s="708">
        <v>0</v>
      </c>
      <c r="M20" s="709">
        <v>2443</v>
      </c>
      <c r="N20" s="710">
        <f t="shared" si="2"/>
        <v>3360</v>
      </c>
      <c r="O20" s="96">
        <f t="shared" si="0"/>
        <v>455</v>
      </c>
      <c r="P20" s="97">
        <f t="shared" si="1"/>
        <v>0.15662650602409633</v>
      </c>
      <c r="Q20" s="98"/>
    </row>
    <row r="21" spans="1:17" ht="15.75" customHeight="1">
      <c r="A21" s="94" t="e">
        <f>LEFT(#REF!,3)</f>
        <v>#REF!</v>
      </c>
      <c r="B21" s="87">
        <v>12</v>
      </c>
      <c r="C21" s="711" t="s">
        <v>573</v>
      </c>
      <c r="D21" s="706" t="str">
        <f>+'ERON 2021'!A13</f>
        <v>EPMSCCAQ Cáqueza</v>
      </c>
      <c r="E21" s="712">
        <v>108</v>
      </c>
      <c r="F21" s="708">
        <v>157</v>
      </c>
      <c r="G21" s="708">
        <v>0</v>
      </c>
      <c r="H21" s="708">
        <v>56</v>
      </c>
      <c r="I21" s="708">
        <v>0</v>
      </c>
      <c r="J21" s="709">
        <v>56</v>
      </c>
      <c r="K21" s="708">
        <v>101</v>
      </c>
      <c r="L21" s="708">
        <v>0</v>
      </c>
      <c r="M21" s="709">
        <v>101</v>
      </c>
      <c r="N21" s="710">
        <f t="shared" si="2"/>
        <v>157</v>
      </c>
      <c r="O21" s="96">
        <f t="shared" si="0"/>
        <v>49</v>
      </c>
      <c r="P21" s="97">
        <f t="shared" si="1"/>
        <v>0.45370370370370372</v>
      </c>
      <c r="Q21" s="98"/>
    </row>
    <row r="22" spans="1:17" ht="15.75" customHeight="1">
      <c r="A22" s="94" t="e">
        <f>LEFT(#REF!,3)</f>
        <v>#REF!</v>
      </c>
      <c r="B22" s="87">
        <v>13</v>
      </c>
      <c r="C22" s="711" t="s">
        <v>573</v>
      </c>
      <c r="D22" s="706" t="str">
        <f>+'ERON 2021'!A14</f>
        <v>CPMSCHO Chocontá</v>
      </c>
      <c r="E22" s="712">
        <v>112</v>
      </c>
      <c r="F22" s="708">
        <v>144</v>
      </c>
      <c r="G22" s="708">
        <v>0</v>
      </c>
      <c r="H22" s="708">
        <v>40</v>
      </c>
      <c r="I22" s="708">
        <v>0</v>
      </c>
      <c r="J22" s="709">
        <v>40</v>
      </c>
      <c r="K22" s="708">
        <v>104</v>
      </c>
      <c r="L22" s="708">
        <v>0</v>
      </c>
      <c r="M22" s="709">
        <v>104</v>
      </c>
      <c r="N22" s="710">
        <f t="shared" si="2"/>
        <v>144</v>
      </c>
      <c r="O22" s="96">
        <f t="shared" si="0"/>
        <v>32</v>
      </c>
      <c r="P22" s="97">
        <f t="shared" si="1"/>
        <v>0.28571428571428581</v>
      </c>
      <c r="Q22" s="98"/>
    </row>
    <row r="23" spans="1:17" ht="15.75" customHeight="1">
      <c r="A23" s="94" t="e">
        <f>LEFT(#REF!,3)</f>
        <v>#REF!</v>
      </c>
      <c r="B23" s="88">
        <v>14</v>
      </c>
      <c r="C23" s="711" t="s">
        <v>573</v>
      </c>
      <c r="D23" s="706" t="str">
        <f>+'ERON 2021'!A15</f>
        <v>CPMSFUS - CAM Fusagasugá</v>
      </c>
      <c r="E23" s="712">
        <v>153</v>
      </c>
      <c r="F23" s="708">
        <v>221</v>
      </c>
      <c r="G23" s="708">
        <v>0</v>
      </c>
      <c r="H23" s="708">
        <v>46</v>
      </c>
      <c r="I23" s="708">
        <v>0</v>
      </c>
      <c r="J23" s="709">
        <v>46</v>
      </c>
      <c r="K23" s="708">
        <v>175</v>
      </c>
      <c r="L23" s="708">
        <v>0</v>
      </c>
      <c r="M23" s="709">
        <v>175</v>
      </c>
      <c r="N23" s="710">
        <f t="shared" si="2"/>
        <v>221</v>
      </c>
      <c r="O23" s="96">
        <f t="shared" si="0"/>
        <v>68</v>
      </c>
      <c r="P23" s="97">
        <f t="shared" si="1"/>
        <v>0.44444444444444442</v>
      </c>
      <c r="Q23" s="98"/>
    </row>
    <row r="24" spans="1:17" ht="15.75" customHeight="1">
      <c r="A24" s="94" t="e">
        <f>LEFT(#REF!,3)</f>
        <v>#REF!</v>
      </c>
      <c r="B24" s="88">
        <v>15</v>
      </c>
      <c r="C24" s="711" t="s">
        <v>573</v>
      </c>
      <c r="D24" s="706" t="str">
        <f>+'ERON 2021'!A16</f>
        <v>CPMSGAC Gachetá</v>
      </c>
      <c r="E24" s="712">
        <v>58</v>
      </c>
      <c r="F24" s="708">
        <v>50</v>
      </c>
      <c r="G24" s="708">
        <v>0</v>
      </c>
      <c r="H24" s="708">
        <v>12</v>
      </c>
      <c r="I24" s="708">
        <v>0</v>
      </c>
      <c r="J24" s="709">
        <v>12</v>
      </c>
      <c r="K24" s="708">
        <v>38</v>
      </c>
      <c r="L24" s="708">
        <v>0</v>
      </c>
      <c r="M24" s="709">
        <v>38</v>
      </c>
      <c r="N24" s="710">
        <f t="shared" si="2"/>
        <v>50</v>
      </c>
      <c r="O24" s="96">
        <f t="shared" si="0"/>
        <v>-8</v>
      </c>
      <c r="P24" s="97">
        <f t="shared" si="1"/>
        <v>-0.13793103448275867</v>
      </c>
      <c r="Q24" s="98"/>
    </row>
    <row r="25" spans="1:17" ht="15.75" customHeight="1">
      <c r="A25" s="94" t="e">
        <f>LEFT(#REF!,3)</f>
        <v>#REF!</v>
      </c>
      <c r="B25" s="87">
        <v>16</v>
      </c>
      <c r="C25" s="711" t="s">
        <v>573</v>
      </c>
      <c r="D25" s="706" t="str">
        <f>+'ERON 2021'!A17</f>
        <v>CPMSLMS La Mesa</v>
      </c>
      <c r="E25" s="712">
        <v>60</v>
      </c>
      <c r="F25" s="708">
        <v>110</v>
      </c>
      <c r="G25" s="708">
        <v>0</v>
      </c>
      <c r="H25" s="708">
        <v>12</v>
      </c>
      <c r="I25" s="708">
        <v>0</v>
      </c>
      <c r="J25" s="709">
        <v>12</v>
      </c>
      <c r="K25" s="708">
        <v>98</v>
      </c>
      <c r="L25" s="708">
        <v>0</v>
      </c>
      <c r="M25" s="709">
        <v>98</v>
      </c>
      <c r="N25" s="710">
        <f t="shared" si="2"/>
        <v>110</v>
      </c>
      <c r="O25" s="96">
        <f t="shared" si="0"/>
        <v>50</v>
      </c>
      <c r="P25" s="97">
        <f t="shared" si="1"/>
        <v>0.83333333333333326</v>
      </c>
      <c r="Q25" s="98"/>
    </row>
    <row r="26" spans="1:17" ht="15.75" customHeight="1">
      <c r="A26" s="94" t="e">
        <f>LEFT(#REF!,3)</f>
        <v>#REF!</v>
      </c>
      <c r="B26" s="87">
        <v>17</v>
      </c>
      <c r="C26" s="711" t="s">
        <v>573</v>
      </c>
      <c r="D26" s="706" t="str">
        <f>+'ERON 2021'!A18</f>
        <v>CPMSUBA Ubaté</v>
      </c>
      <c r="E26" s="712">
        <v>117</v>
      </c>
      <c r="F26" s="708">
        <v>119</v>
      </c>
      <c r="G26" s="708">
        <v>0</v>
      </c>
      <c r="H26" s="708">
        <v>29</v>
      </c>
      <c r="I26" s="708">
        <v>0</v>
      </c>
      <c r="J26" s="709">
        <v>29</v>
      </c>
      <c r="K26" s="708">
        <v>90</v>
      </c>
      <c r="L26" s="708">
        <v>0</v>
      </c>
      <c r="M26" s="709">
        <v>90</v>
      </c>
      <c r="N26" s="710">
        <f t="shared" si="2"/>
        <v>119</v>
      </c>
      <c r="O26" s="96">
        <f t="shared" si="0"/>
        <v>2</v>
      </c>
      <c r="P26" s="97">
        <f t="shared" si="1"/>
        <v>1.7094017094017033E-2</v>
      </c>
      <c r="Q26" s="98"/>
    </row>
    <row r="27" spans="1:17" ht="15.75" customHeight="1">
      <c r="A27" s="94" t="e">
        <f>LEFT(#REF!,3)</f>
        <v>#REF!</v>
      </c>
      <c r="B27" s="88">
        <v>18</v>
      </c>
      <c r="C27" s="711" t="s">
        <v>573</v>
      </c>
      <c r="D27" s="706" t="str">
        <f>+'ERON 2021'!A19</f>
        <v>CPMSVILL Villeta</v>
      </c>
      <c r="E27" s="712">
        <v>70</v>
      </c>
      <c r="F27" s="708">
        <v>86</v>
      </c>
      <c r="G27" s="708">
        <v>0</v>
      </c>
      <c r="H27" s="708">
        <v>43</v>
      </c>
      <c r="I27" s="708">
        <v>0</v>
      </c>
      <c r="J27" s="709">
        <v>43</v>
      </c>
      <c r="K27" s="708">
        <v>43</v>
      </c>
      <c r="L27" s="708">
        <v>0</v>
      </c>
      <c r="M27" s="709">
        <v>43</v>
      </c>
      <c r="N27" s="710">
        <f t="shared" si="2"/>
        <v>86</v>
      </c>
      <c r="O27" s="96">
        <f t="shared" si="0"/>
        <v>16</v>
      </c>
      <c r="P27" s="97">
        <f t="shared" si="1"/>
        <v>0.22857142857142865</v>
      </c>
      <c r="Q27" s="98"/>
    </row>
    <row r="28" spans="1:17" ht="15.75" customHeight="1">
      <c r="A28" s="94" t="e">
        <f>LEFT(#REF!,3)</f>
        <v>#REF!</v>
      </c>
      <c r="B28" s="88">
        <v>19</v>
      </c>
      <c r="C28" s="711" t="s">
        <v>573</v>
      </c>
      <c r="D28" s="706" t="str">
        <f>+'ERON 2021'!A20</f>
        <v>EPMSCZIP Zipaquirá</v>
      </c>
      <c r="E28" s="712">
        <v>152</v>
      </c>
      <c r="F28" s="708">
        <v>165</v>
      </c>
      <c r="G28" s="708">
        <v>0</v>
      </c>
      <c r="H28" s="708">
        <v>67</v>
      </c>
      <c r="I28" s="708">
        <v>0</v>
      </c>
      <c r="J28" s="709">
        <v>67</v>
      </c>
      <c r="K28" s="708">
        <v>98</v>
      </c>
      <c r="L28" s="708">
        <v>0</v>
      </c>
      <c r="M28" s="709">
        <v>98</v>
      </c>
      <c r="N28" s="710">
        <f t="shared" si="2"/>
        <v>165</v>
      </c>
      <c r="O28" s="96">
        <f t="shared" si="0"/>
        <v>13</v>
      </c>
      <c r="P28" s="97">
        <f t="shared" si="1"/>
        <v>8.5526315789473673E-2</v>
      </c>
      <c r="Q28" s="98"/>
    </row>
    <row r="29" spans="1:17" ht="15.75" customHeight="1">
      <c r="A29" s="94" t="e">
        <f>LEFT(#REF!,3)</f>
        <v>#REF!</v>
      </c>
      <c r="B29" s="87">
        <v>20</v>
      </c>
      <c r="C29" s="711" t="s">
        <v>573</v>
      </c>
      <c r="D29" s="706" t="str">
        <f>+'ERON 2021'!A21</f>
        <v>CPAMSMBOG-ERE Bogotá</v>
      </c>
      <c r="E29" s="712">
        <v>1246</v>
      </c>
      <c r="F29" s="708">
        <v>0</v>
      </c>
      <c r="G29" s="708">
        <v>1784</v>
      </c>
      <c r="H29" s="708">
        <v>0</v>
      </c>
      <c r="I29" s="708">
        <v>708</v>
      </c>
      <c r="J29" s="709">
        <v>708</v>
      </c>
      <c r="K29" s="708">
        <v>0</v>
      </c>
      <c r="L29" s="708">
        <v>1076</v>
      </c>
      <c r="M29" s="709">
        <v>1076</v>
      </c>
      <c r="N29" s="710">
        <f t="shared" si="2"/>
        <v>1784</v>
      </c>
      <c r="O29" s="96">
        <f t="shared" si="0"/>
        <v>538</v>
      </c>
      <c r="P29" s="97">
        <f t="shared" si="1"/>
        <v>0.4317817014446228</v>
      </c>
      <c r="Q29" s="98"/>
    </row>
    <row r="30" spans="1:17" ht="15.75" customHeight="1">
      <c r="A30" s="94" t="e">
        <f>LEFT(#REF!,3)</f>
        <v>#REF!</v>
      </c>
      <c r="B30" s="87">
        <v>21</v>
      </c>
      <c r="C30" s="711" t="s">
        <v>573</v>
      </c>
      <c r="D30" s="706" t="str">
        <f>+'ERON 2021'!A22</f>
        <v>CAMISACS Acacias</v>
      </c>
      <c r="E30" s="712">
        <v>1098</v>
      </c>
      <c r="F30" s="708">
        <v>890</v>
      </c>
      <c r="G30" s="708">
        <v>0</v>
      </c>
      <c r="H30" s="708">
        <v>13</v>
      </c>
      <c r="I30" s="708">
        <v>0</v>
      </c>
      <c r="J30" s="709">
        <v>13</v>
      </c>
      <c r="K30" s="708">
        <v>877</v>
      </c>
      <c r="L30" s="708">
        <v>0</v>
      </c>
      <c r="M30" s="709">
        <v>877</v>
      </c>
      <c r="N30" s="710">
        <f t="shared" si="2"/>
        <v>890</v>
      </c>
      <c r="O30" s="96">
        <f t="shared" si="0"/>
        <v>-208</v>
      </c>
      <c r="P30" s="97">
        <f t="shared" si="1"/>
        <v>-0.18943533697632053</v>
      </c>
      <c r="Q30" s="98"/>
    </row>
    <row r="31" spans="1:17" ht="15.75" customHeight="1">
      <c r="A31" s="94" t="e">
        <f>LEFT(#REF!,3)</f>
        <v>#REF!</v>
      </c>
      <c r="B31" s="88">
        <v>22</v>
      </c>
      <c r="C31" s="711" t="s">
        <v>573</v>
      </c>
      <c r="D31" s="706" t="str">
        <f>+'ERON 2021'!A23</f>
        <v>EPMSCVILLV Villavicencio</v>
      </c>
      <c r="E31" s="712">
        <v>899</v>
      </c>
      <c r="F31" s="708">
        <v>1342</v>
      </c>
      <c r="G31" s="708">
        <v>0</v>
      </c>
      <c r="H31" s="708">
        <v>738</v>
      </c>
      <c r="I31" s="708">
        <v>0</v>
      </c>
      <c r="J31" s="709">
        <v>738</v>
      </c>
      <c r="K31" s="708">
        <v>604</v>
      </c>
      <c r="L31" s="708">
        <v>0</v>
      </c>
      <c r="M31" s="709">
        <v>604</v>
      </c>
      <c r="N31" s="710">
        <f t="shared" si="2"/>
        <v>1342</v>
      </c>
      <c r="O31" s="96">
        <f t="shared" si="0"/>
        <v>443</v>
      </c>
      <c r="P31" s="97">
        <f t="shared" si="1"/>
        <v>0.49276974416017794</v>
      </c>
      <c r="Q31" s="98"/>
    </row>
    <row r="32" spans="1:17" ht="15.75" customHeight="1">
      <c r="A32" s="94" t="e">
        <f>LEFT(#REF!,3)</f>
        <v>#REF!</v>
      </c>
      <c r="B32" s="88">
        <v>23</v>
      </c>
      <c r="C32" s="711" t="s">
        <v>573</v>
      </c>
      <c r="D32" s="706" t="str">
        <f>+'ERON 2021'!A24</f>
        <v>EPMSCGRA Granada</v>
      </c>
      <c r="E32" s="712">
        <v>120</v>
      </c>
      <c r="F32" s="708">
        <v>192</v>
      </c>
      <c r="G32" s="708">
        <v>0</v>
      </c>
      <c r="H32" s="708">
        <v>83</v>
      </c>
      <c r="I32" s="708">
        <v>0</v>
      </c>
      <c r="J32" s="709">
        <v>83</v>
      </c>
      <c r="K32" s="708">
        <v>109</v>
      </c>
      <c r="L32" s="708">
        <v>0</v>
      </c>
      <c r="M32" s="709">
        <v>109</v>
      </c>
      <c r="N32" s="710">
        <f t="shared" si="2"/>
        <v>192</v>
      </c>
      <c r="O32" s="96">
        <f t="shared" si="0"/>
        <v>72</v>
      </c>
      <c r="P32" s="97">
        <f t="shared" si="1"/>
        <v>0.60000000000000009</v>
      </c>
      <c r="Q32" s="98"/>
    </row>
    <row r="33" spans="1:17" ht="15.75" customHeight="1">
      <c r="A33" s="94" t="e">
        <f>LEFT(#REF!,3)</f>
        <v>#REF!</v>
      </c>
      <c r="B33" s="87">
        <v>24</v>
      </c>
      <c r="C33" s="711" t="s">
        <v>573</v>
      </c>
      <c r="D33" s="706" t="str">
        <f>+'ERON 2021'!A25</f>
        <v>CPMSMEL Melgar</v>
      </c>
      <c r="E33" s="712">
        <v>90</v>
      </c>
      <c r="F33" s="708">
        <v>83</v>
      </c>
      <c r="G33" s="708">
        <v>0</v>
      </c>
      <c r="H33" s="708">
        <v>8</v>
      </c>
      <c r="I33" s="708">
        <v>0</v>
      </c>
      <c r="J33" s="709">
        <v>8</v>
      </c>
      <c r="K33" s="708">
        <v>75</v>
      </c>
      <c r="L33" s="708">
        <v>0</v>
      </c>
      <c r="M33" s="709">
        <v>75</v>
      </c>
      <c r="N33" s="710">
        <f t="shared" si="2"/>
        <v>83</v>
      </c>
      <c r="O33" s="96">
        <f t="shared" si="0"/>
        <v>-7</v>
      </c>
      <c r="P33" s="97">
        <f t="shared" si="1"/>
        <v>-7.7777777777777724E-2</v>
      </c>
      <c r="Q33" s="98"/>
    </row>
    <row r="34" spans="1:17" ht="15.75" customHeight="1">
      <c r="A34" s="94" t="e">
        <f>LEFT(#REF!,3)</f>
        <v>#REF!</v>
      </c>
      <c r="B34" s="87">
        <v>25</v>
      </c>
      <c r="C34" s="711" t="s">
        <v>573</v>
      </c>
      <c r="D34" s="706" t="str">
        <f>+'ERON 2021'!A26</f>
        <v>EPMSCGIR Girardot</v>
      </c>
      <c r="E34" s="712">
        <v>899</v>
      </c>
      <c r="F34" s="708">
        <v>892</v>
      </c>
      <c r="G34" s="708">
        <v>0</v>
      </c>
      <c r="H34" s="708">
        <v>272</v>
      </c>
      <c r="I34" s="708">
        <v>0</v>
      </c>
      <c r="J34" s="709">
        <v>272</v>
      </c>
      <c r="K34" s="708">
        <v>620</v>
      </c>
      <c r="L34" s="708">
        <v>0</v>
      </c>
      <c r="M34" s="709">
        <v>620</v>
      </c>
      <c r="N34" s="710">
        <f t="shared" si="2"/>
        <v>892</v>
      </c>
      <c r="O34" s="96">
        <f t="shared" si="0"/>
        <v>-7</v>
      </c>
      <c r="P34" s="97">
        <f t="shared" si="1"/>
        <v>-7.7864293659621886E-3</v>
      </c>
      <c r="Q34" s="98"/>
    </row>
    <row r="35" spans="1:17" ht="15.75" customHeight="1">
      <c r="A35" s="94" t="e">
        <f>LEFT(#REF!,3)</f>
        <v>#REF!</v>
      </c>
      <c r="B35" s="88">
        <v>26</v>
      </c>
      <c r="C35" s="711" t="s">
        <v>573</v>
      </c>
      <c r="D35" s="706" t="str">
        <f>+'ERON 2021'!A27</f>
        <v>EPMSCNEI Neiva</v>
      </c>
      <c r="E35" s="712">
        <v>984</v>
      </c>
      <c r="F35" s="708">
        <v>1330</v>
      </c>
      <c r="G35" s="708">
        <v>117</v>
      </c>
      <c r="H35" s="708">
        <v>413</v>
      </c>
      <c r="I35" s="708">
        <v>44</v>
      </c>
      <c r="J35" s="709">
        <v>457</v>
      </c>
      <c r="K35" s="708">
        <v>917</v>
      </c>
      <c r="L35" s="708">
        <v>73</v>
      </c>
      <c r="M35" s="709">
        <v>990</v>
      </c>
      <c r="N35" s="710">
        <f t="shared" si="2"/>
        <v>1447</v>
      </c>
      <c r="O35" s="96">
        <f t="shared" si="0"/>
        <v>463</v>
      </c>
      <c r="P35" s="97">
        <f t="shared" si="1"/>
        <v>0.47052845528455278</v>
      </c>
      <c r="Q35" s="98"/>
    </row>
    <row r="36" spans="1:17" ht="15.75" customHeight="1">
      <c r="A36" s="94" t="e">
        <f>LEFT(#REF!,3)</f>
        <v>#REF!</v>
      </c>
      <c r="B36" s="88">
        <v>27</v>
      </c>
      <c r="C36" s="711" t="s">
        <v>573</v>
      </c>
      <c r="D36" s="706" t="str">
        <f>+'ERON 2021'!A28</f>
        <v>CPMSGAZ Garzón</v>
      </c>
      <c r="E36" s="712">
        <v>291</v>
      </c>
      <c r="F36" s="708">
        <v>371</v>
      </c>
      <c r="G36" s="708">
        <v>23</v>
      </c>
      <c r="H36" s="708">
        <v>212</v>
      </c>
      <c r="I36" s="708">
        <v>15</v>
      </c>
      <c r="J36" s="709">
        <v>227</v>
      </c>
      <c r="K36" s="708">
        <v>159</v>
      </c>
      <c r="L36" s="708">
        <v>8</v>
      </c>
      <c r="M36" s="709">
        <v>167</v>
      </c>
      <c r="N36" s="710">
        <f t="shared" si="2"/>
        <v>394</v>
      </c>
      <c r="O36" s="96">
        <f t="shared" si="0"/>
        <v>103</v>
      </c>
      <c r="P36" s="97">
        <f t="shared" si="1"/>
        <v>0.35395189003436434</v>
      </c>
      <c r="Q36" s="98"/>
    </row>
    <row r="37" spans="1:17" ht="15.75" customHeight="1">
      <c r="A37" s="94" t="e">
        <f>LEFT(#REF!,3)</f>
        <v>#REF!</v>
      </c>
      <c r="B37" s="87">
        <v>28</v>
      </c>
      <c r="C37" s="711" t="s">
        <v>573</v>
      </c>
      <c r="D37" s="706" t="str">
        <f>+'ERON 2021'!A29</f>
        <v>EPMSCLPL La Plata</v>
      </c>
      <c r="E37" s="712">
        <v>304</v>
      </c>
      <c r="F37" s="708">
        <v>380</v>
      </c>
      <c r="G37" s="708">
        <v>0</v>
      </c>
      <c r="H37" s="708">
        <v>145</v>
      </c>
      <c r="I37" s="708">
        <v>0</v>
      </c>
      <c r="J37" s="709">
        <v>145</v>
      </c>
      <c r="K37" s="708">
        <v>235</v>
      </c>
      <c r="L37" s="708">
        <v>0</v>
      </c>
      <c r="M37" s="709">
        <v>235</v>
      </c>
      <c r="N37" s="710">
        <f t="shared" si="2"/>
        <v>380</v>
      </c>
      <c r="O37" s="96">
        <f t="shared" si="0"/>
        <v>76</v>
      </c>
      <c r="P37" s="97">
        <f t="shared" si="1"/>
        <v>0.25</v>
      </c>
      <c r="Q37" s="98"/>
    </row>
    <row r="38" spans="1:17" ht="15.75" customHeight="1">
      <c r="A38" s="94" t="e">
        <f>LEFT(#REF!,3)</f>
        <v>#REF!</v>
      </c>
      <c r="B38" s="87">
        <v>29</v>
      </c>
      <c r="C38" s="711" t="s">
        <v>573</v>
      </c>
      <c r="D38" s="706" t="str">
        <f>+'ERON 2021'!A30</f>
        <v>EPMSCPIT Pitalito</v>
      </c>
      <c r="E38" s="712">
        <v>650</v>
      </c>
      <c r="F38" s="708">
        <v>811</v>
      </c>
      <c r="G38" s="708">
        <v>30</v>
      </c>
      <c r="H38" s="708">
        <v>298</v>
      </c>
      <c r="I38" s="708">
        <v>16</v>
      </c>
      <c r="J38" s="709">
        <v>314</v>
      </c>
      <c r="K38" s="708">
        <v>513</v>
      </c>
      <c r="L38" s="708">
        <v>14</v>
      </c>
      <c r="M38" s="709">
        <v>527</v>
      </c>
      <c r="N38" s="710">
        <f t="shared" si="2"/>
        <v>841</v>
      </c>
      <c r="O38" s="96">
        <f t="shared" si="0"/>
        <v>191</v>
      </c>
      <c r="P38" s="97">
        <f t="shared" si="1"/>
        <v>0.29384615384615387</v>
      </c>
      <c r="Q38" s="98"/>
    </row>
    <row r="39" spans="1:17" ht="15.75" customHeight="1">
      <c r="A39" s="94" t="e">
        <f>LEFT(#REF!,3)</f>
        <v>#REF!</v>
      </c>
      <c r="B39" s="88">
        <v>30</v>
      </c>
      <c r="C39" s="711" t="s">
        <v>573</v>
      </c>
      <c r="D39" s="706" t="str">
        <f>+'ERON 2021'!A31</f>
        <v>CPMSFLO-ERE-RM Florencia</v>
      </c>
      <c r="E39" s="712">
        <v>550</v>
      </c>
      <c r="F39" s="708">
        <v>773</v>
      </c>
      <c r="G39" s="708">
        <v>57</v>
      </c>
      <c r="H39" s="708">
        <v>388</v>
      </c>
      <c r="I39" s="708">
        <v>26</v>
      </c>
      <c r="J39" s="709">
        <v>414</v>
      </c>
      <c r="K39" s="708">
        <v>385</v>
      </c>
      <c r="L39" s="708">
        <v>31</v>
      </c>
      <c r="M39" s="709">
        <v>416</v>
      </c>
      <c r="N39" s="710">
        <f t="shared" si="2"/>
        <v>830</v>
      </c>
      <c r="O39" s="96">
        <f t="shared" si="0"/>
        <v>280</v>
      </c>
      <c r="P39" s="97">
        <f t="shared" si="1"/>
        <v>0.50909090909090904</v>
      </c>
      <c r="Q39" s="98"/>
    </row>
    <row r="40" spans="1:17" ht="15.75" customHeight="1">
      <c r="A40" s="94" t="e">
        <f>LEFT(#REF!,3)</f>
        <v>#REF!</v>
      </c>
      <c r="B40" s="88">
        <v>31</v>
      </c>
      <c r="C40" s="711" t="s">
        <v>573</v>
      </c>
      <c r="D40" s="706" t="str">
        <f>+'ERON 2021'!A32</f>
        <v>EPMSCCHA Chaparral</v>
      </c>
      <c r="E40" s="712">
        <v>169</v>
      </c>
      <c r="F40" s="708">
        <v>230</v>
      </c>
      <c r="G40" s="708">
        <v>0</v>
      </c>
      <c r="H40" s="708">
        <v>69</v>
      </c>
      <c r="I40" s="708">
        <v>0</v>
      </c>
      <c r="J40" s="709">
        <v>69</v>
      </c>
      <c r="K40" s="708">
        <v>161</v>
      </c>
      <c r="L40" s="708">
        <v>0</v>
      </c>
      <c r="M40" s="709">
        <v>161</v>
      </c>
      <c r="N40" s="710">
        <f t="shared" si="2"/>
        <v>230</v>
      </c>
      <c r="O40" s="96">
        <f t="shared" si="0"/>
        <v>61</v>
      </c>
      <c r="P40" s="97">
        <f t="shared" si="1"/>
        <v>0.36094674556213024</v>
      </c>
      <c r="Q40" s="98"/>
    </row>
    <row r="41" spans="1:17" ht="15.75" customHeight="1">
      <c r="A41" s="94" t="e">
        <f>LEFT(#REF!,3)</f>
        <v>#REF!</v>
      </c>
      <c r="B41" s="87">
        <v>32</v>
      </c>
      <c r="C41" s="711" t="s">
        <v>573</v>
      </c>
      <c r="D41" s="706" t="str">
        <f>+'ERON 2021'!A33</f>
        <v>CPMSESP Espinal</v>
      </c>
      <c r="E41" s="712">
        <v>1118</v>
      </c>
      <c r="F41" s="708">
        <v>1047</v>
      </c>
      <c r="G41" s="708">
        <v>0</v>
      </c>
      <c r="H41" s="708">
        <v>45</v>
      </c>
      <c r="I41" s="708">
        <v>0</v>
      </c>
      <c r="J41" s="709">
        <v>45</v>
      </c>
      <c r="K41" s="708">
        <v>1002</v>
      </c>
      <c r="L41" s="708">
        <v>0</v>
      </c>
      <c r="M41" s="709">
        <v>1002</v>
      </c>
      <c r="N41" s="710">
        <f t="shared" si="2"/>
        <v>1047</v>
      </c>
      <c r="O41" s="96">
        <f t="shared" si="0"/>
        <v>-71</v>
      </c>
      <c r="P41" s="97">
        <f t="shared" si="1"/>
        <v>-6.3506261180679813E-2</v>
      </c>
      <c r="Q41" s="98"/>
    </row>
    <row r="42" spans="1:17" ht="15.75" customHeight="1">
      <c r="A42" s="94" t="e">
        <f>LEFT(#REF!,3)</f>
        <v>#REF!</v>
      </c>
      <c r="B42" s="87">
        <v>33</v>
      </c>
      <c r="C42" s="711" t="s">
        <v>573</v>
      </c>
      <c r="D42" s="706" t="str">
        <f>+'ERON 2021'!A34</f>
        <v>CPMSPUR Purificación</v>
      </c>
      <c r="E42" s="712">
        <v>113</v>
      </c>
      <c r="F42" s="708">
        <v>1</v>
      </c>
      <c r="G42" s="708">
        <v>0</v>
      </c>
      <c r="H42" s="708">
        <v>0</v>
      </c>
      <c r="I42" s="708">
        <v>0</v>
      </c>
      <c r="J42" s="709">
        <v>0</v>
      </c>
      <c r="K42" s="708">
        <v>1</v>
      </c>
      <c r="L42" s="708">
        <v>0</v>
      </c>
      <c r="M42" s="709">
        <v>1</v>
      </c>
      <c r="N42" s="710">
        <f t="shared" si="2"/>
        <v>1</v>
      </c>
      <c r="O42" s="96">
        <f t="shared" ref="O42:O73" si="3">N42-E42</f>
        <v>-112</v>
      </c>
      <c r="P42" s="97">
        <f t="shared" ref="P42:P73" si="4">IFERROR((N42/E42)-100%,0)</f>
        <v>-0.99115044247787609</v>
      </c>
      <c r="Q42" s="98"/>
    </row>
    <row r="43" spans="1:17" ht="15.75" customHeight="1">
      <c r="A43" s="94" t="e">
        <f>LEFT(#REF!,3)</f>
        <v>#REF!</v>
      </c>
      <c r="B43" s="1101">
        <v>34</v>
      </c>
      <c r="C43" s="711" t="s">
        <v>573</v>
      </c>
      <c r="D43" s="706" t="str">
        <f>+'ERON 2021'!A35</f>
        <v>CPMSACS - RM Acacias</v>
      </c>
      <c r="E43" s="712">
        <v>2376</v>
      </c>
      <c r="F43" s="708">
        <v>2567</v>
      </c>
      <c r="G43" s="708">
        <v>118</v>
      </c>
      <c r="H43" s="708">
        <v>168</v>
      </c>
      <c r="I43" s="708">
        <v>37</v>
      </c>
      <c r="J43" s="709">
        <v>205</v>
      </c>
      <c r="K43" s="708">
        <v>2399</v>
      </c>
      <c r="L43" s="708">
        <v>81</v>
      </c>
      <c r="M43" s="709">
        <v>2480</v>
      </c>
      <c r="N43" s="710">
        <f t="shared" si="2"/>
        <v>2685</v>
      </c>
      <c r="O43" s="96">
        <f t="shared" si="3"/>
        <v>309</v>
      </c>
      <c r="P43" s="97">
        <f t="shared" si="4"/>
        <v>0.13005050505050497</v>
      </c>
      <c r="Q43" s="98"/>
    </row>
    <row r="44" spans="1:17" ht="15.75" customHeight="1">
      <c r="A44" s="94" t="e">
        <f>LEFT(#REF!,3)</f>
        <v>#REF!</v>
      </c>
      <c r="B44" s="88">
        <v>35</v>
      </c>
      <c r="C44" s="711" t="s">
        <v>573</v>
      </c>
      <c r="D44" s="706" t="str">
        <f>+'ERON 2021'!A36</f>
        <v>CPMSTUN Tunja</v>
      </c>
      <c r="E44" s="712">
        <v>120</v>
      </c>
      <c r="F44" s="708">
        <v>169</v>
      </c>
      <c r="G44" s="708">
        <v>0</v>
      </c>
      <c r="H44" s="708">
        <v>38</v>
      </c>
      <c r="I44" s="708">
        <v>0</v>
      </c>
      <c r="J44" s="709">
        <v>38</v>
      </c>
      <c r="K44" s="708">
        <v>131</v>
      </c>
      <c r="L44" s="708">
        <v>0</v>
      </c>
      <c r="M44" s="709">
        <v>131</v>
      </c>
      <c r="N44" s="710">
        <f t="shared" si="2"/>
        <v>169</v>
      </c>
      <c r="O44" s="96">
        <f t="shared" si="3"/>
        <v>49</v>
      </c>
      <c r="P44" s="97">
        <f t="shared" si="4"/>
        <v>0.40833333333333344</v>
      </c>
      <c r="Q44" s="98"/>
    </row>
    <row r="45" spans="1:17" ht="15.75" customHeight="1">
      <c r="A45" s="94" t="e">
        <f>LEFT(#REF!,3)</f>
        <v>#REF!</v>
      </c>
      <c r="B45" s="1096">
        <v>36</v>
      </c>
      <c r="C45" s="711" t="s">
        <v>573</v>
      </c>
      <c r="D45" s="706" t="str">
        <f>+'ERON 2021'!A37</f>
        <v>CPAMSEB El Barne</v>
      </c>
      <c r="E45" s="712">
        <v>2664</v>
      </c>
      <c r="F45" s="708">
        <v>3941</v>
      </c>
      <c r="G45" s="708">
        <v>0</v>
      </c>
      <c r="H45" s="708">
        <v>474</v>
      </c>
      <c r="I45" s="708">
        <v>0</v>
      </c>
      <c r="J45" s="709">
        <v>474</v>
      </c>
      <c r="K45" s="708">
        <v>3467</v>
      </c>
      <c r="L45" s="708">
        <v>0</v>
      </c>
      <c r="M45" s="709">
        <v>3467</v>
      </c>
      <c r="N45" s="710">
        <f t="shared" si="2"/>
        <v>3941</v>
      </c>
      <c r="O45" s="96">
        <f t="shared" si="3"/>
        <v>1277</v>
      </c>
      <c r="P45" s="97">
        <f t="shared" si="4"/>
        <v>0.47935435435435436</v>
      </c>
      <c r="Q45" s="98"/>
    </row>
    <row r="46" spans="1:17" ht="15.75" customHeight="1">
      <c r="A46" s="94" t="e">
        <f>LEFT(#REF!,3)</f>
        <v>#REF!</v>
      </c>
      <c r="B46" s="87">
        <v>37</v>
      </c>
      <c r="C46" s="711" t="s">
        <v>573</v>
      </c>
      <c r="D46" s="706" t="str">
        <f>+'ERON 2021'!A38</f>
        <v>CPMSPDA Paz de Ariporo</v>
      </c>
      <c r="E46" s="712">
        <v>120</v>
      </c>
      <c r="F46" s="708">
        <v>94</v>
      </c>
      <c r="G46" s="708">
        <v>0</v>
      </c>
      <c r="H46" s="708">
        <v>20</v>
      </c>
      <c r="I46" s="708">
        <v>0</v>
      </c>
      <c r="J46" s="709">
        <v>20</v>
      </c>
      <c r="K46" s="708">
        <v>74</v>
      </c>
      <c r="L46" s="708">
        <v>0</v>
      </c>
      <c r="M46" s="709">
        <v>74</v>
      </c>
      <c r="N46" s="710">
        <f t="shared" si="2"/>
        <v>94</v>
      </c>
      <c r="O46" s="96">
        <f t="shared" si="3"/>
        <v>-26</v>
      </c>
      <c r="P46" s="97">
        <f t="shared" si="4"/>
        <v>-0.21666666666666667</v>
      </c>
      <c r="Q46" s="98"/>
    </row>
    <row r="47" spans="1:17" ht="15.75" customHeight="1">
      <c r="A47" s="94" t="e">
        <f>LEFT(#REF!,3)</f>
        <v>#REF!</v>
      </c>
      <c r="B47" s="1101">
        <v>38</v>
      </c>
      <c r="C47" s="711" t="s">
        <v>573</v>
      </c>
      <c r="D47" s="706" t="str">
        <f>+'ERON 2021'!A39</f>
        <v>EPCYOP Yopal</v>
      </c>
      <c r="E47" s="712">
        <v>918</v>
      </c>
      <c r="F47" s="708">
        <v>874</v>
      </c>
      <c r="G47" s="708">
        <v>0</v>
      </c>
      <c r="H47" s="708">
        <v>115</v>
      </c>
      <c r="I47" s="708">
        <v>0</v>
      </c>
      <c r="J47" s="709">
        <v>115</v>
      </c>
      <c r="K47" s="708">
        <v>759</v>
      </c>
      <c r="L47" s="708">
        <v>0</v>
      </c>
      <c r="M47" s="709">
        <v>759</v>
      </c>
      <c r="N47" s="710">
        <f t="shared" si="2"/>
        <v>874</v>
      </c>
      <c r="O47" s="96">
        <f t="shared" si="3"/>
        <v>-44</v>
      </c>
      <c r="P47" s="97">
        <f t="shared" si="4"/>
        <v>-4.7930283224400849E-2</v>
      </c>
      <c r="Q47" s="98"/>
    </row>
    <row r="48" spans="1:17" ht="15.75" customHeight="1">
      <c r="A48" s="94" t="e">
        <f>LEFT(#REF!,3)</f>
        <v>#REF!</v>
      </c>
      <c r="B48" s="1101">
        <v>39</v>
      </c>
      <c r="C48" s="711" t="s">
        <v>573</v>
      </c>
      <c r="D48" s="706" t="str">
        <f>+'ERON 2021'!A40</f>
        <v>PMSLEGU La Esperanza de Guaduas</v>
      </c>
      <c r="E48" s="712">
        <v>2822</v>
      </c>
      <c r="F48" s="708">
        <v>2735</v>
      </c>
      <c r="G48" s="708">
        <v>0</v>
      </c>
      <c r="H48" s="708">
        <v>173</v>
      </c>
      <c r="I48" s="708">
        <v>0</v>
      </c>
      <c r="J48" s="709">
        <v>173</v>
      </c>
      <c r="K48" s="708">
        <v>2562</v>
      </c>
      <c r="L48" s="708">
        <v>0</v>
      </c>
      <c r="M48" s="709">
        <v>2562</v>
      </c>
      <c r="N48" s="710">
        <f t="shared" si="2"/>
        <v>2735</v>
      </c>
      <c r="O48" s="96">
        <f t="shared" si="3"/>
        <v>-87</v>
      </c>
      <c r="P48" s="97">
        <f t="shared" si="4"/>
        <v>-3.0829199149539299E-2</v>
      </c>
      <c r="Q48" s="98"/>
    </row>
    <row r="49" spans="1:17" ht="15.75" customHeight="1">
      <c r="A49" s="94" t="e">
        <f>LEFT(#REF!,3)</f>
        <v>#REF!</v>
      </c>
      <c r="B49" s="1102">
        <v>40</v>
      </c>
      <c r="C49" s="711" t="s">
        <v>573</v>
      </c>
      <c r="D49" s="706" t="str">
        <f>+'ERON 2021'!A41</f>
        <v xml:space="preserve">PMSHELIC Las Heliconias </v>
      </c>
      <c r="E49" s="712">
        <v>1388</v>
      </c>
      <c r="F49" s="708">
        <v>1311</v>
      </c>
      <c r="G49" s="708">
        <v>0</v>
      </c>
      <c r="H49" s="708">
        <v>0</v>
      </c>
      <c r="I49" s="708">
        <v>0</v>
      </c>
      <c r="J49" s="709">
        <v>0</v>
      </c>
      <c r="K49" s="708">
        <v>1311</v>
      </c>
      <c r="L49" s="708">
        <v>0</v>
      </c>
      <c r="M49" s="709">
        <v>1311</v>
      </c>
      <c r="N49" s="710">
        <f t="shared" si="2"/>
        <v>1311</v>
      </c>
      <c r="O49" s="96">
        <f t="shared" si="3"/>
        <v>-77</v>
      </c>
      <c r="P49" s="97">
        <f t="shared" si="4"/>
        <v>-5.54755043227666E-2</v>
      </c>
      <c r="Q49" s="98"/>
    </row>
    <row r="50" spans="1:17" ht="15.75" customHeight="1">
      <c r="A50" s="94" t="e">
        <f>LEFT(#REF!,3)</f>
        <v>#REF!</v>
      </c>
      <c r="B50" s="87">
        <v>41</v>
      </c>
      <c r="C50" s="711" t="s">
        <v>573</v>
      </c>
      <c r="D50" s="706" t="str">
        <f>+'ERON 2021'!A42</f>
        <v>EPCGUM El Guamo</v>
      </c>
      <c r="E50" s="712">
        <v>100</v>
      </c>
      <c r="F50" s="708">
        <v>101</v>
      </c>
      <c r="G50" s="708">
        <v>0</v>
      </c>
      <c r="H50" s="708">
        <v>28</v>
      </c>
      <c r="I50" s="708">
        <v>0</v>
      </c>
      <c r="J50" s="709">
        <v>28</v>
      </c>
      <c r="K50" s="708">
        <v>73</v>
      </c>
      <c r="L50" s="708">
        <v>0</v>
      </c>
      <c r="M50" s="709">
        <v>73</v>
      </c>
      <c r="N50" s="710">
        <f t="shared" si="2"/>
        <v>101</v>
      </c>
      <c r="O50" s="96">
        <f t="shared" si="3"/>
        <v>1</v>
      </c>
      <c r="P50" s="97">
        <f t="shared" si="4"/>
        <v>1.0000000000000009E-2</v>
      </c>
      <c r="Q50" s="98"/>
    </row>
    <row r="51" spans="1:17" ht="15.75" customHeight="1">
      <c r="A51" s="94" t="e">
        <f>LEFT(#REF!,3)</f>
        <v>#REF!</v>
      </c>
      <c r="B51" s="88">
        <v>42</v>
      </c>
      <c r="C51" s="711" t="s">
        <v>573</v>
      </c>
      <c r="D51" s="706" t="str">
        <f>+'ERON 2021'!A43</f>
        <v>CPMMSFFA Facatativá</v>
      </c>
      <c r="E51" s="712">
        <v>180</v>
      </c>
      <c r="F51" s="708">
        <v>84</v>
      </c>
      <c r="G51" s="708">
        <v>0</v>
      </c>
      <c r="H51" s="708">
        <v>26</v>
      </c>
      <c r="I51" s="708">
        <v>0</v>
      </c>
      <c r="J51" s="709">
        <v>26</v>
      </c>
      <c r="K51" s="708">
        <v>58</v>
      </c>
      <c r="L51" s="708">
        <v>0</v>
      </c>
      <c r="M51" s="709">
        <v>58</v>
      </c>
      <c r="N51" s="710">
        <f t="shared" si="2"/>
        <v>84</v>
      </c>
      <c r="O51" s="96">
        <f t="shared" si="3"/>
        <v>-96</v>
      </c>
      <c r="P51" s="97">
        <f t="shared" si="4"/>
        <v>-0.53333333333333333</v>
      </c>
      <c r="Q51" s="98"/>
    </row>
    <row r="52" spans="1:17" ht="15.75" customHeight="1">
      <c r="A52" s="94" t="e">
        <f>LEFT(#REF!,3)</f>
        <v>#REF!</v>
      </c>
      <c r="B52" s="88">
        <v>43</v>
      </c>
      <c r="C52" s="713" t="s">
        <v>574</v>
      </c>
      <c r="D52" s="706" t="str">
        <f>+'ERON 2021'!A44</f>
        <v>EPMSCBOL Bolívar Cauca</v>
      </c>
      <c r="E52" s="707">
        <v>186</v>
      </c>
      <c r="F52" s="708">
        <v>155</v>
      </c>
      <c r="G52" s="708">
        <v>0</v>
      </c>
      <c r="H52" s="708">
        <v>70</v>
      </c>
      <c r="I52" s="708">
        <v>0</v>
      </c>
      <c r="J52" s="709">
        <v>70</v>
      </c>
      <c r="K52" s="708">
        <v>85</v>
      </c>
      <c r="L52" s="708">
        <v>0</v>
      </c>
      <c r="M52" s="709">
        <v>85</v>
      </c>
      <c r="N52" s="710">
        <f t="shared" si="2"/>
        <v>155</v>
      </c>
      <c r="O52" s="96">
        <f t="shared" si="3"/>
        <v>-31</v>
      </c>
      <c r="P52" s="97">
        <f t="shared" si="4"/>
        <v>-0.16666666666666663</v>
      </c>
      <c r="Q52" s="98"/>
    </row>
    <row r="53" spans="1:17" ht="15.75" customHeight="1">
      <c r="A53" s="94" t="e">
        <f>LEFT(#REF!,3)</f>
        <v>#REF!</v>
      </c>
      <c r="B53" s="87">
        <v>44</v>
      </c>
      <c r="C53" s="713" t="s">
        <v>574</v>
      </c>
      <c r="D53" s="706" t="str">
        <f>+'ERON 2021'!A45</f>
        <v>CPMSEBO El Bordo</v>
      </c>
      <c r="E53" s="712">
        <v>108</v>
      </c>
      <c r="F53" s="708">
        <v>113</v>
      </c>
      <c r="G53" s="708">
        <v>0</v>
      </c>
      <c r="H53" s="708">
        <v>21</v>
      </c>
      <c r="I53" s="708">
        <v>0</v>
      </c>
      <c r="J53" s="709">
        <v>21</v>
      </c>
      <c r="K53" s="708">
        <v>92</v>
      </c>
      <c r="L53" s="708">
        <v>0</v>
      </c>
      <c r="M53" s="709">
        <v>92</v>
      </c>
      <c r="N53" s="710">
        <f t="shared" si="2"/>
        <v>113</v>
      </c>
      <c r="O53" s="96">
        <f t="shared" si="3"/>
        <v>5</v>
      </c>
      <c r="P53" s="97">
        <f t="shared" si="4"/>
        <v>4.629629629629628E-2</v>
      </c>
      <c r="Q53" s="98"/>
    </row>
    <row r="54" spans="1:17" ht="15.75" customHeight="1">
      <c r="A54" s="94" t="e">
        <f>LEFT(#REF!,3)</f>
        <v>#REF!</v>
      </c>
      <c r="B54" s="87">
        <v>45</v>
      </c>
      <c r="C54" s="713" t="s">
        <v>574</v>
      </c>
      <c r="D54" s="706" t="str">
        <f>+'ERON 2021'!A46</f>
        <v>EPMSCPTE Puerto Tejada</v>
      </c>
      <c r="E54" s="712">
        <v>64</v>
      </c>
      <c r="F54" s="708">
        <v>0</v>
      </c>
      <c r="G54" s="708">
        <v>0</v>
      </c>
      <c r="H54" s="708">
        <v>0</v>
      </c>
      <c r="I54" s="708">
        <v>0</v>
      </c>
      <c r="J54" s="709">
        <v>0</v>
      </c>
      <c r="K54" s="708">
        <v>0</v>
      </c>
      <c r="L54" s="708">
        <v>0</v>
      </c>
      <c r="M54" s="709">
        <v>0</v>
      </c>
      <c r="N54" s="710">
        <f t="shared" si="2"/>
        <v>0</v>
      </c>
      <c r="O54" s="96">
        <f t="shared" si="3"/>
        <v>-64</v>
      </c>
      <c r="P54" s="97">
        <f t="shared" si="4"/>
        <v>-1</v>
      </c>
      <c r="Q54" s="98"/>
    </row>
    <row r="55" spans="1:17" ht="15.75" customHeight="1">
      <c r="A55" s="94" t="e">
        <f>LEFT(#REF!,3)</f>
        <v>#REF!</v>
      </c>
      <c r="B55" s="88">
        <v>46</v>
      </c>
      <c r="C55" s="713" t="s">
        <v>574</v>
      </c>
      <c r="D55" s="706" t="str">
        <f>+'ERON 2021'!A47</f>
        <v>EPMSCSDQ Santander de Quilichao</v>
      </c>
      <c r="E55" s="707">
        <v>230</v>
      </c>
      <c r="F55" s="708">
        <v>320</v>
      </c>
      <c r="G55" s="708">
        <v>0</v>
      </c>
      <c r="H55" s="708">
        <v>140</v>
      </c>
      <c r="I55" s="708">
        <v>0</v>
      </c>
      <c r="J55" s="709">
        <v>140</v>
      </c>
      <c r="K55" s="708">
        <v>180</v>
      </c>
      <c r="L55" s="708">
        <v>0</v>
      </c>
      <c r="M55" s="709">
        <v>180</v>
      </c>
      <c r="N55" s="710">
        <f t="shared" si="2"/>
        <v>320</v>
      </c>
      <c r="O55" s="96">
        <f t="shared" si="3"/>
        <v>90</v>
      </c>
      <c r="P55" s="97">
        <f t="shared" si="4"/>
        <v>0.39130434782608692</v>
      </c>
      <c r="Q55" s="98"/>
    </row>
    <row r="56" spans="1:17" ht="15.75" customHeight="1">
      <c r="A56" s="94" t="e">
        <f>LEFT(#REF!,3)</f>
        <v>#REF!</v>
      </c>
      <c r="B56" s="88">
        <v>47</v>
      </c>
      <c r="C56" s="713" t="s">
        <v>574</v>
      </c>
      <c r="D56" s="706" t="str">
        <f>+'ERON 2021'!A48</f>
        <v>EPMSCSIL Silvia</v>
      </c>
      <c r="E56" s="712">
        <v>100</v>
      </c>
      <c r="F56" s="708">
        <v>96</v>
      </c>
      <c r="G56" s="708">
        <v>0</v>
      </c>
      <c r="H56" s="708">
        <v>25</v>
      </c>
      <c r="I56" s="708">
        <v>0</v>
      </c>
      <c r="J56" s="709">
        <v>25</v>
      </c>
      <c r="K56" s="708">
        <v>71</v>
      </c>
      <c r="L56" s="708">
        <v>0</v>
      </c>
      <c r="M56" s="709">
        <v>71</v>
      </c>
      <c r="N56" s="710">
        <f t="shared" si="2"/>
        <v>96</v>
      </c>
      <c r="O56" s="96">
        <f t="shared" si="3"/>
        <v>-4</v>
      </c>
      <c r="P56" s="97">
        <f t="shared" si="4"/>
        <v>-4.0000000000000036E-2</v>
      </c>
      <c r="Q56" s="98"/>
    </row>
    <row r="57" spans="1:17" ht="15.75" customHeight="1">
      <c r="A57" s="94" t="e">
        <f>LEFT(#REF!,3)</f>
        <v>#REF!</v>
      </c>
      <c r="B57" s="87">
        <v>48</v>
      </c>
      <c r="C57" s="713" t="s">
        <v>574</v>
      </c>
      <c r="D57" s="706" t="str">
        <f>+'ERON 2021'!A49</f>
        <v>CPMSMPY Popayán</v>
      </c>
      <c r="E57" s="712">
        <v>100</v>
      </c>
      <c r="F57" s="708">
        <v>0</v>
      </c>
      <c r="G57" s="708">
        <v>145</v>
      </c>
      <c r="H57" s="708">
        <v>0</v>
      </c>
      <c r="I57" s="708">
        <v>56</v>
      </c>
      <c r="J57" s="709">
        <v>56</v>
      </c>
      <c r="K57" s="708">
        <v>0</v>
      </c>
      <c r="L57" s="708">
        <v>89</v>
      </c>
      <c r="M57" s="709">
        <v>89</v>
      </c>
      <c r="N57" s="710">
        <f t="shared" si="2"/>
        <v>145</v>
      </c>
      <c r="O57" s="96">
        <f t="shared" si="3"/>
        <v>45</v>
      </c>
      <c r="P57" s="97">
        <f t="shared" si="4"/>
        <v>0.44999999999999996</v>
      </c>
      <c r="Q57" s="98"/>
    </row>
    <row r="58" spans="1:17" ht="15.75" customHeight="1">
      <c r="A58" s="94" t="e">
        <f>LEFT(#REF!,3)</f>
        <v>#REF!</v>
      </c>
      <c r="B58" s="87">
        <v>49</v>
      </c>
      <c r="C58" s="713" t="s">
        <v>574</v>
      </c>
      <c r="D58" s="706" t="str">
        <f>+'ERON 2021'!A50</f>
        <v>EPMSCPAS-RM Pasto</v>
      </c>
      <c r="E58" s="707">
        <v>568</v>
      </c>
      <c r="F58" s="708">
        <v>717</v>
      </c>
      <c r="G58" s="708">
        <v>75</v>
      </c>
      <c r="H58" s="708">
        <v>237</v>
      </c>
      <c r="I58" s="708">
        <v>41</v>
      </c>
      <c r="J58" s="709">
        <v>278</v>
      </c>
      <c r="K58" s="708">
        <v>480</v>
      </c>
      <c r="L58" s="708">
        <v>34</v>
      </c>
      <c r="M58" s="709">
        <v>514</v>
      </c>
      <c r="N58" s="710">
        <f t="shared" si="2"/>
        <v>792</v>
      </c>
      <c r="O58" s="96">
        <f t="shared" si="3"/>
        <v>224</v>
      </c>
      <c r="P58" s="97">
        <f t="shared" si="4"/>
        <v>0.39436619718309851</v>
      </c>
      <c r="Q58" s="98"/>
    </row>
    <row r="59" spans="1:17" ht="15.75" customHeight="1">
      <c r="A59" s="94" t="e">
        <f>LEFT(#REF!,3)</f>
        <v>#REF!</v>
      </c>
      <c r="B59" s="88">
        <v>50</v>
      </c>
      <c r="C59" s="713" t="s">
        <v>574</v>
      </c>
      <c r="D59" s="706" t="str">
        <f>+'ERON 2021'!A51</f>
        <v>CPMSIPI-RM Ipiales</v>
      </c>
      <c r="E59" s="712">
        <v>888</v>
      </c>
      <c r="F59" s="708">
        <v>421</v>
      </c>
      <c r="G59" s="708">
        <v>0</v>
      </c>
      <c r="H59" s="708">
        <v>223</v>
      </c>
      <c r="I59" s="708">
        <v>0</v>
      </c>
      <c r="J59" s="709">
        <v>223</v>
      </c>
      <c r="K59" s="708">
        <v>198</v>
      </c>
      <c r="L59" s="708">
        <v>0</v>
      </c>
      <c r="M59" s="709">
        <v>198</v>
      </c>
      <c r="N59" s="710">
        <f t="shared" si="2"/>
        <v>421</v>
      </c>
      <c r="O59" s="96">
        <f t="shared" si="3"/>
        <v>-467</v>
      </c>
      <c r="P59" s="97">
        <f t="shared" si="4"/>
        <v>-0.52590090090090091</v>
      </c>
      <c r="Q59" s="98"/>
    </row>
    <row r="60" spans="1:17" ht="15.75" customHeight="1">
      <c r="A60" s="94" t="e">
        <f>LEFT(#REF!,3)</f>
        <v>#REF!</v>
      </c>
      <c r="B60" s="88">
        <v>51</v>
      </c>
      <c r="C60" s="713" t="s">
        <v>574</v>
      </c>
      <c r="D60" s="706" t="str">
        <f>+'ERON 2021'!A52</f>
        <v>EPMSCLUN La Unión</v>
      </c>
      <c r="E60" s="712">
        <v>84</v>
      </c>
      <c r="F60" s="708">
        <v>81</v>
      </c>
      <c r="G60" s="708">
        <v>0</v>
      </c>
      <c r="H60" s="708">
        <v>15</v>
      </c>
      <c r="I60" s="708">
        <v>0</v>
      </c>
      <c r="J60" s="709">
        <v>15</v>
      </c>
      <c r="K60" s="708">
        <v>66</v>
      </c>
      <c r="L60" s="708">
        <v>0</v>
      </c>
      <c r="M60" s="709">
        <v>66</v>
      </c>
      <c r="N60" s="710">
        <f t="shared" si="2"/>
        <v>81</v>
      </c>
      <c r="O60" s="96">
        <f t="shared" si="3"/>
        <v>-3</v>
      </c>
      <c r="P60" s="97">
        <f t="shared" si="4"/>
        <v>-3.5714285714285698E-2</v>
      </c>
      <c r="Q60" s="98"/>
    </row>
    <row r="61" spans="1:17" ht="15.75" customHeight="1">
      <c r="A61" s="94" t="e">
        <f>LEFT(#REF!,3)</f>
        <v>#REF!</v>
      </c>
      <c r="B61" s="87">
        <v>52</v>
      </c>
      <c r="C61" s="713" t="s">
        <v>574</v>
      </c>
      <c r="D61" s="706" t="str">
        <f>+'ERON 2021'!A53</f>
        <v>EPMSCTUQ Túquerres</v>
      </c>
      <c r="E61" s="707">
        <v>88</v>
      </c>
      <c r="F61" s="708">
        <v>119</v>
      </c>
      <c r="G61" s="708">
        <v>0</v>
      </c>
      <c r="H61" s="708">
        <v>56</v>
      </c>
      <c r="I61" s="708">
        <v>0</v>
      </c>
      <c r="J61" s="709">
        <v>56</v>
      </c>
      <c r="K61" s="708">
        <v>63</v>
      </c>
      <c r="L61" s="708">
        <v>0</v>
      </c>
      <c r="M61" s="709">
        <v>63</v>
      </c>
      <c r="N61" s="710">
        <f t="shared" si="2"/>
        <v>119</v>
      </c>
      <c r="O61" s="96">
        <f t="shared" si="3"/>
        <v>31</v>
      </c>
      <c r="P61" s="97">
        <f t="shared" si="4"/>
        <v>0.35227272727272729</v>
      </c>
      <c r="Q61" s="98"/>
    </row>
    <row r="62" spans="1:17" ht="15.75" customHeight="1">
      <c r="A62" s="94" t="e">
        <f>LEFT(#REF!,3)</f>
        <v>#REF!</v>
      </c>
      <c r="B62" s="87">
        <v>53</v>
      </c>
      <c r="C62" s="713" t="s">
        <v>574</v>
      </c>
      <c r="D62" s="706" t="str">
        <f>+'ERON 2021'!A54</f>
        <v>EPMSCTUM Tumaco</v>
      </c>
      <c r="E62" s="712">
        <v>274</v>
      </c>
      <c r="F62" s="708">
        <v>388</v>
      </c>
      <c r="G62" s="708">
        <v>19</v>
      </c>
      <c r="H62" s="708">
        <v>237</v>
      </c>
      <c r="I62" s="708">
        <v>16</v>
      </c>
      <c r="J62" s="709">
        <v>253</v>
      </c>
      <c r="K62" s="708">
        <v>151</v>
      </c>
      <c r="L62" s="708">
        <v>3</v>
      </c>
      <c r="M62" s="709">
        <v>154</v>
      </c>
      <c r="N62" s="710">
        <f t="shared" si="2"/>
        <v>407</v>
      </c>
      <c r="O62" s="96">
        <f t="shared" si="3"/>
        <v>133</v>
      </c>
      <c r="P62" s="97">
        <f t="shared" si="4"/>
        <v>0.48540145985401462</v>
      </c>
      <c r="Q62" s="98"/>
    </row>
    <row r="63" spans="1:17" ht="15.75" customHeight="1">
      <c r="A63" s="94" t="e">
        <f>LEFT(#REF!,3)</f>
        <v>#REF!</v>
      </c>
      <c r="B63" s="88">
        <v>54</v>
      </c>
      <c r="C63" s="713" t="s">
        <v>574</v>
      </c>
      <c r="D63" s="706" t="str">
        <f>+'ERON 2021'!A55</f>
        <v>CPAMSPAL Palmira</v>
      </c>
      <c r="E63" s="712">
        <v>1257</v>
      </c>
      <c r="F63" s="708">
        <v>2098</v>
      </c>
      <c r="G63" s="708">
        <v>0</v>
      </c>
      <c r="H63" s="708">
        <v>539</v>
      </c>
      <c r="I63" s="708">
        <v>0</v>
      </c>
      <c r="J63" s="709">
        <v>539</v>
      </c>
      <c r="K63" s="708">
        <v>1559</v>
      </c>
      <c r="L63" s="708">
        <v>0</v>
      </c>
      <c r="M63" s="709">
        <v>1559</v>
      </c>
      <c r="N63" s="710">
        <f t="shared" si="2"/>
        <v>2098</v>
      </c>
      <c r="O63" s="96">
        <f t="shared" si="3"/>
        <v>841</v>
      </c>
      <c r="P63" s="97">
        <f t="shared" si="4"/>
        <v>0.66905330151153541</v>
      </c>
      <c r="Q63" s="98"/>
    </row>
    <row r="64" spans="1:17" ht="15.75" customHeight="1">
      <c r="A64" s="94" t="e">
        <f>LEFT(#REF!,3)</f>
        <v>#REF!</v>
      </c>
      <c r="B64" s="88">
        <v>55</v>
      </c>
      <c r="C64" s="713" t="s">
        <v>574</v>
      </c>
      <c r="D64" s="706" t="str">
        <f>+'ERON 2021'!A56</f>
        <v>EPMSCCAL-ERE Cali</v>
      </c>
      <c r="E64" s="707">
        <v>2046</v>
      </c>
      <c r="F64" s="708">
        <v>4572</v>
      </c>
      <c r="G64" s="708">
        <v>0</v>
      </c>
      <c r="H64" s="708">
        <v>1683</v>
      </c>
      <c r="I64" s="708">
        <v>0</v>
      </c>
      <c r="J64" s="709">
        <v>1683</v>
      </c>
      <c r="K64" s="708">
        <v>2889</v>
      </c>
      <c r="L64" s="708">
        <v>0</v>
      </c>
      <c r="M64" s="709">
        <v>2889</v>
      </c>
      <c r="N64" s="710">
        <f t="shared" si="2"/>
        <v>4572</v>
      </c>
      <c r="O64" s="96">
        <f t="shared" si="3"/>
        <v>2526</v>
      </c>
      <c r="P64" s="97">
        <f t="shared" si="4"/>
        <v>1.2346041055718473</v>
      </c>
      <c r="Q64" s="98"/>
    </row>
    <row r="65" spans="1:17" ht="15.75" customHeight="1">
      <c r="A65" s="94" t="e">
        <f>LEFT(#REF!,3)</f>
        <v>#REF!</v>
      </c>
      <c r="B65" s="87">
        <v>56</v>
      </c>
      <c r="C65" s="713" t="s">
        <v>574</v>
      </c>
      <c r="D65" s="706" t="str">
        <f>+'ERON 2021'!A57</f>
        <v>EPMSCBUG Buga</v>
      </c>
      <c r="E65" s="712">
        <v>821</v>
      </c>
      <c r="F65" s="708">
        <v>873</v>
      </c>
      <c r="G65" s="708">
        <v>0</v>
      </c>
      <c r="H65" s="708">
        <v>547</v>
      </c>
      <c r="I65" s="708">
        <v>0</v>
      </c>
      <c r="J65" s="709">
        <v>547</v>
      </c>
      <c r="K65" s="708">
        <v>326</v>
      </c>
      <c r="L65" s="708">
        <v>0</v>
      </c>
      <c r="M65" s="709">
        <v>326</v>
      </c>
      <c r="N65" s="710">
        <f t="shared" si="2"/>
        <v>873</v>
      </c>
      <c r="O65" s="96">
        <f t="shared" si="3"/>
        <v>52</v>
      </c>
      <c r="P65" s="97">
        <f t="shared" si="4"/>
        <v>6.3337393422655319E-2</v>
      </c>
      <c r="Q65" s="98"/>
    </row>
    <row r="66" spans="1:17" ht="15.75" customHeight="1">
      <c r="A66" s="94" t="e">
        <f>LEFT(#REF!,3)</f>
        <v>#REF!</v>
      </c>
      <c r="B66" s="87">
        <v>57</v>
      </c>
      <c r="C66" s="713" t="s">
        <v>574</v>
      </c>
      <c r="D66" s="706" t="str">
        <f>+'ERON 2021'!A58</f>
        <v>EPMSCBUE Buenaventura</v>
      </c>
      <c r="E66" s="712">
        <v>315</v>
      </c>
      <c r="F66" s="708">
        <v>368</v>
      </c>
      <c r="G66" s="708">
        <v>28</v>
      </c>
      <c r="H66" s="708">
        <v>257</v>
      </c>
      <c r="I66" s="708">
        <v>23</v>
      </c>
      <c r="J66" s="709">
        <v>280</v>
      </c>
      <c r="K66" s="708">
        <v>111</v>
      </c>
      <c r="L66" s="708">
        <v>5</v>
      </c>
      <c r="M66" s="709">
        <v>116</v>
      </c>
      <c r="N66" s="710">
        <f t="shared" si="2"/>
        <v>396</v>
      </c>
      <c r="O66" s="96">
        <f t="shared" si="3"/>
        <v>81</v>
      </c>
      <c r="P66" s="97">
        <f t="shared" si="4"/>
        <v>0.25714285714285712</v>
      </c>
      <c r="Q66" s="98"/>
    </row>
    <row r="67" spans="1:17" ht="15.75" customHeight="1">
      <c r="A67" s="94" t="e">
        <f>LEFT(#REF!,3)</f>
        <v>#REF!</v>
      </c>
      <c r="B67" s="1098">
        <v>58</v>
      </c>
      <c r="C67" s="713" t="s">
        <v>574</v>
      </c>
      <c r="D67" s="706" t="str">
        <f>+'ERON 2021'!A59</f>
        <v>CPMSTUL Tuluá</v>
      </c>
      <c r="E67" s="707">
        <v>1078</v>
      </c>
      <c r="F67" s="708">
        <v>1229</v>
      </c>
      <c r="G67" s="708">
        <v>0</v>
      </c>
      <c r="H67" s="708">
        <v>521</v>
      </c>
      <c r="I67" s="708">
        <v>0</v>
      </c>
      <c r="J67" s="709">
        <v>521</v>
      </c>
      <c r="K67" s="708">
        <v>708</v>
      </c>
      <c r="L67" s="708">
        <v>0</v>
      </c>
      <c r="M67" s="709">
        <v>708</v>
      </c>
      <c r="N67" s="710">
        <f t="shared" si="2"/>
        <v>1229</v>
      </c>
      <c r="O67" s="96">
        <f t="shared" si="3"/>
        <v>151</v>
      </c>
      <c r="P67" s="97">
        <f t="shared" si="4"/>
        <v>0.14007421150278287</v>
      </c>
      <c r="Q67" s="98"/>
    </row>
    <row r="68" spans="1:17" ht="15.75" customHeight="1">
      <c r="A68" s="94" t="e">
        <f>LEFT(#REF!,3)</f>
        <v>#REF!</v>
      </c>
      <c r="B68" s="88">
        <v>59</v>
      </c>
      <c r="C68" s="713" t="s">
        <v>574</v>
      </c>
      <c r="D68" s="706" t="str">
        <f>+'ERON 2021'!A60</f>
        <v>CPAMSPY-ERE Popayán</v>
      </c>
      <c r="E68" s="712">
        <v>2524</v>
      </c>
      <c r="F68" s="708">
        <v>2505</v>
      </c>
      <c r="G68" s="708">
        <v>0</v>
      </c>
      <c r="H68" s="708">
        <v>731</v>
      </c>
      <c r="I68" s="708">
        <v>0</v>
      </c>
      <c r="J68" s="709">
        <v>731</v>
      </c>
      <c r="K68" s="708">
        <v>1774</v>
      </c>
      <c r="L68" s="708">
        <v>0</v>
      </c>
      <c r="M68" s="709">
        <v>1774</v>
      </c>
      <c r="N68" s="710">
        <f t="shared" si="2"/>
        <v>2505</v>
      </c>
      <c r="O68" s="96">
        <f t="shared" si="3"/>
        <v>-19</v>
      </c>
      <c r="P68" s="97">
        <f t="shared" si="4"/>
        <v>-7.5277337559429558E-3</v>
      </c>
      <c r="Q68" s="98"/>
    </row>
    <row r="69" spans="1:17" ht="15.75" customHeight="1">
      <c r="A69" s="94" t="e">
        <f>LEFT(#REF!,3)</f>
        <v>#REF!</v>
      </c>
      <c r="B69" s="87">
        <v>60</v>
      </c>
      <c r="C69" s="713" t="s">
        <v>574</v>
      </c>
      <c r="D69" s="706" t="str">
        <f>+'ERON 2021'!A61</f>
        <v>EPMSCCAR Cartago</v>
      </c>
      <c r="E69" s="712">
        <v>428</v>
      </c>
      <c r="F69" s="708">
        <v>502</v>
      </c>
      <c r="G69" s="708">
        <v>0</v>
      </c>
      <c r="H69" s="708">
        <v>175</v>
      </c>
      <c r="I69" s="708">
        <v>0</v>
      </c>
      <c r="J69" s="709">
        <v>175</v>
      </c>
      <c r="K69" s="708">
        <v>327</v>
      </c>
      <c r="L69" s="708">
        <v>0</v>
      </c>
      <c r="M69" s="709">
        <v>327</v>
      </c>
      <c r="N69" s="710">
        <f t="shared" si="2"/>
        <v>502</v>
      </c>
      <c r="O69" s="96">
        <f t="shared" si="3"/>
        <v>74</v>
      </c>
      <c r="P69" s="97">
        <f t="shared" si="4"/>
        <v>0.17289719626168232</v>
      </c>
      <c r="Q69" s="98"/>
    </row>
    <row r="70" spans="1:17" ht="15.75" customHeight="1">
      <c r="A70" s="94" t="e">
        <f>LEFT(#REF!,3)</f>
        <v>#REF!</v>
      </c>
      <c r="B70" s="87">
        <v>61</v>
      </c>
      <c r="C70" s="713" t="s">
        <v>574</v>
      </c>
      <c r="D70" s="706" t="str">
        <f>+'ERON 2021'!A62</f>
        <v>EPMSCCAI Caicedonia</v>
      </c>
      <c r="E70" s="707">
        <v>102</v>
      </c>
      <c r="F70" s="708">
        <v>112</v>
      </c>
      <c r="G70" s="708">
        <v>0</v>
      </c>
      <c r="H70" s="708">
        <v>44</v>
      </c>
      <c r="I70" s="708">
        <v>0</v>
      </c>
      <c r="J70" s="709">
        <v>44</v>
      </c>
      <c r="K70" s="708">
        <v>68</v>
      </c>
      <c r="L70" s="708">
        <v>0</v>
      </c>
      <c r="M70" s="709">
        <v>68</v>
      </c>
      <c r="N70" s="710">
        <f t="shared" si="2"/>
        <v>112</v>
      </c>
      <c r="O70" s="96">
        <f t="shared" si="3"/>
        <v>10</v>
      </c>
      <c r="P70" s="97">
        <f t="shared" si="4"/>
        <v>9.8039215686274606E-2</v>
      </c>
      <c r="Q70" s="98"/>
    </row>
    <row r="71" spans="1:17" ht="15.75" customHeight="1">
      <c r="A71" s="94" t="e">
        <f>LEFT(#REF!,3)</f>
        <v>#REF!</v>
      </c>
      <c r="B71" s="1101">
        <v>62</v>
      </c>
      <c r="C71" s="713" t="s">
        <v>574</v>
      </c>
      <c r="D71" s="706" t="str">
        <f>+'ERON 2021'!A63</f>
        <v>EPMSCROL Roldanillo</v>
      </c>
      <c r="E71" s="712">
        <v>0</v>
      </c>
      <c r="F71" s="708">
        <v>0</v>
      </c>
      <c r="G71" s="708">
        <v>0</v>
      </c>
      <c r="H71" s="708">
        <v>0</v>
      </c>
      <c r="I71" s="708">
        <v>0</v>
      </c>
      <c r="J71" s="709">
        <v>0</v>
      </c>
      <c r="K71" s="708">
        <v>0</v>
      </c>
      <c r="L71" s="708">
        <v>0</v>
      </c>
      <c r="M71" s="709">
        <v>0</v>
      </c>
      <c r="N71" s="710">
        <f t="shared" si="2"/>
        <v>0</v>
      </c>
      <c r="O71" s="96">
        <f t="shared" si="3"/>
        <v>0</v>
      </c>
      <c r="P71" s="97">
        <f t="shared" si="4"/>
        <v>0</v>
      </c>
      <c r="Q71" s="98"/>
    </row>
    <row r="72" spans="1:17" ht="15.75" customHeight="1">
      <c r="A72" s="94" t="e">
        <f>LEFT(#REF!,3)</f>
        <v>#REF!</v>
      </c>
      <c r="B72" s="88">
        <v>63</v>
      </c>
      <c r="C72" s="713" t="s">
        <v>574</v>
      </c>
      <c r="D72" s="706" t="str">
        <f>+'ERON 2021'!A64</f>
        <v>EPMSCSEV Sevilla</v>
      </c>
      <c r="E72" s="712">
        <v>88</v>
      </c>
      <c r="F72" s="708">
        <v>72</v>
      </c>
      <c r="G72" s="708">
        <v>0</v>
      </c>
      <c r="H72" s="708">
        <v>22</v>
      </c>
      <c r="I72" s="708">
        <v>0</v>
      </c>
      <c r="J72" s="709">
        <v>22</v>
      </c>
      <c r="K72" s="708">
        <v>50</v>
      </c>
      <c r="L72" s="708">
        <v>0</v>
      </c>
      <c r="M72" s="709">
        <v>50</v>
      </c>
      <c r="N72" s="710">
        <f t="shared" si="2"/>
        <v>72</v>
      </c>
      <c r="O72" s="96">
        <f t="shared" si="3"/>
        <v>-16</v>
      </c>
      <c r="P72" s="97">
        <f t="shared" si="4"/>
        <v>-0.18181818181818177</v>
      </c>
      <c r="Q72" s="98"/>
    </row>
    <row r="73" spans="1:17" ht="15.75" customHeight="1">
      <c r="A73" s="94" t="e">
        <f>LEFT(#REF!,3)</f>
        <v>#REF!</v>
      </c>
      <c r="B73" s="87">
        <v>64</v>
      </c>
      <c r="C73" s="713" t="s">
        <v>574</v>
      </c>
      <c r="D73" s="706" t="str">
        <f>+'ERON 2021'!A65</f>
        <v>COJAM Jamundí</v>
      </c>
      <c r="E73" s="707">
        <v>4444</v>
      </c>
      <c r="F73" s="708">
        <v>3258</v>
      </c>
      <c r="G73" s="708">
        <v>1056</v>
      </c>
      <c r="H73" s="708">
        <v>207</v>
      </c>
      <c r="I73" s="708">
        <v>357</v>
      </c>
      <c r="J73" s="709">
        <v>564</v>
      </c>
      <c r="K73" s="708">
        <v>3051</v>
      </c>
      <c r="L73" s="708">
        <v>699</v>
      </c>
      <c r="M73" s="709">
        <v>3750</v>
      </c>
      <c r="N73" s="710">
        <f t="shared" si="2"/>
        <v>4314</v>
      </c>
      <c r="O73" s="96">
        <f t="shared" si="3"/>
        <v>-130</v>
      </c>
      <c r="P73" s="97">
        <f t="shared" si="4"/>
        <v>-2.9252925292529208E-2</v>
      </c>
      <c r="Q73" s="98"/>
    </row>
    <row r="74" spans="1:17" ht="15.75" customHeight="1">
      <c r="A74" s="94" t="e">
        <f>LEFT(#REF!,3)</f>
        <v>#REF!</v>
      </c>
      <c r="B74" s="87">
        <v>65</v>
      </c>
      <c r="C74" s="714" t="s">
        <v>575</v>
      </c>
      <c r="D74" s="706" t="str">
        <f>+'ERON 2021'!A66</f>
        <v>CMSBA-JP Barranquilla</v>
      </c>
      <c r="E74" s="712">
        <v>454</v>
      </c>
      <c r="F74" s="708">
        <v>663</v>
      </c>
      <c r="G74" s="708">
        <v>0</v>
      </c>
      <c r="H74" s="708">
        <v>431</v>
      </c>
      <c r="I74" s="708">
        <v>0</v>
      </c>
      <c r="J74" s="709">
        <v>431</v>
      </c>
      <c r="K74" s="708">
        <v>232</v>
      </c>
      <c r="L74" s="708">
        <v>0</v>
      </c>
      <c r="M74" s="709">
        <v>232</v>
      </c>
      <c r="N74" s="710">
        <f t="shared" si="2"/>
        <v>663</v>
      </c>
      <c r="O74" s="96">
        <f t="shared" ref="O74:O105" si="5">N74-E74</f>
        <v>209</v>
      </c>
      <c r="P74" s="97">
        <f t="shared" ref="P74:P105" si="6">IFERROR((N74/E74)-100%,0)</f>
        <v>0.4603524229074889</v>
      </c>
      <c r="Q74" s="98"/>
    </row>
    <row r="75" spans="1:17" ht="15.75" customHeight="1">
      <c r="A75" s="94" t="e">
        <f>LEFT(#REF!,3)</f>
        <v>#REF!</v>
      </c>
      <c r="B75" s="88">
        <v>66</v>
      </c>
      <c r="C75" s="714" t="s">
        <v>575</v>
      </c>
      <c r="D75" s="706" t="str">
        <f>+'ERON 2021'!A67</f>
        <v>CPMSSAB-ERE Sabanalarga</v>
      </c>
      <c r="E75" s="712">
        <v>50</v>
      </c>
      <c r="F75" s="708">
        <v>0</v>
      </c>
      <c r="G75" s="708">
        <v>0</v>
      </c>
      <c r="H75" s="708">
        <v>0</v>
      </c>
      <c r="I75" s="708">
        <v>0</v>
      </c>
      <c r="J75" s="709">
        <v>0</v>
      </c>
      <c r="K75" s="708">
        <v>0</v>
      </c>
      <c r="L75" s="708">
        <v>0</v>
      </c>
      <c r="M75" s="709">
        <v>0</v>
      </c>
      <c r="N75" s="710">
        <f t="shared" ref="N75:N138" si="7">+F75+G75</f>
        <v>0</v>
      </c>
      <c r="O75" s="96">
        <f t="shared" si="5"/>
        <v>-50</v>
      </c>
      <c r="P75" s="97">
        <f t="shared" si="6"/>
        <v>-1</v>
      </c>
      <c r="Q75" s="98"/>
    </row>
    <row r="76" spans="1:17" ht="15.75" customHeight="1">
      <c r="A76" s="94" t="e">
        <f>LEFT(#REF!,3)</f>
        <v>#REF!</v>
      </c>
      <c r="B76" s="88">
        <v>67</v>
      </c>
      <c r="C76" s="714" t="s">
        <v>575</v>
      </c>
      <c r="D76" s="706" t="str">
        <f>+'ERON 2021'!A68</f>
        <v>EPMSCCAR Cartagena</v>
      </c>
      <c r="E76" s="707">
        <v>1464</v>
      </c>
      <c r="F76" s="708">
        <v>1796</v>
      </c>
      <c r="G76" s="708">
        <v>2</v>
      </c>
      <c r="H76" s="708">
        <v>1048</v>
      </c>
      <c r="I76" s="708">
        <v>0</v>
      </c>
      <c r="J76" s="709">
        <v>1048</v>
      </c>
      <c r="K76" s="708">
        <v>748</v>
      </c>
      <c r="L76" s="708">
        <v>2</v>
      </c>
      <c r="M76" s="709">
        <v>750</v>
      </c>
      <c r="N76" s="710">
        <f t="shared" si="7"/>
        <v>1798</v>
      </c>
      <c r="O76" s="96">
        <f t="shared" si="5"/>
        <v>334</v>
      </c>
      <c r="P76" s="97">
        <f t="shared" si="6"/>
        <v>0.22814207650273222</v>
      </c>
      <c r="Q76" s="98"/>
    </row>
    <row r="77" spans="1:17" ht="15.75" customHeight="1">
      <c r="A77" s="94" t="e">
        <f>LEFT(#REF!,3)</f>
        <v>#REF!</v>
      </c>
      <c r="B77" s="87">
        <v>68</v>
      </c>
      <c r="C77" s="714" t="s">
        <v>575</v>
      </c>
      <c r="D77" s="706" t="str">
        <f>+'ERON 2021'!A69</f>
        <v>EPMSCMAG Magangué</v>
      </c>
      <c r="E77" s="712">
        <v>72</v>
      </c>
      <c r="F77" s="708">
        <v>91</v>
      </c>
      <c r="G77" s="708">
        <v>0</v>
      </c>
      <c r="H77" s="708">
        <v>22</v>
      </c>
      <c r="I77" s="708">
        <v>0</v>
      </c>
      <c r="J77" s="709">
        <v>22</v>
      </c>
      <c r="K77" s="708">
        <v>69</v>
      </c>
      <c r="L77" s="708">
        <v>0</v>
      </c>
      <c r="M77" s="709">
        <v>69</v>
      </c>
      <c r="N77" s="710">
        <f t="shared" si="7"/>
        <v>91</v>
      </c>
      <c r="O77" s="96">
        <f t="shared" si="5"/>
        <v>19</v>
      </c>
      <c r="P77" s="97">
        <f t="shared" si="6"/>
        <v>0.26388888888888884</v>
      </c>
      <c r="Q77" s="98"/>
    </row>
    <row r="78" spans="1:17" ht="15.75" customHeight="1">
      <c r="A78" s="94" t="e">
        <f>LEFT(#REF!,3)</f>
        <v>#REF!</v>
      </c>
      <c r="B78" s="87">
        <v>69</v>
      </c>
      <c r="C78" s="714" t="s">
        <v>575</v>
      </c>
      <c r="D78" s="706" t="str">
        <f>+'ERON 2021'!A70</f>
        <v>EPMSCVAL-ERE Valledupar</v>
      </c>
      <c r="E78" s="712">
        <v>256</v>
      </c>
      <c r="F78" s="708">
        <v>554</v>
      </c>
      <c r="G78" s="708">
        <v>91</v>
      </c>
      <c r="H78" s="708">
        <v>205</v>
      </c>
      <c r="I78" s="708">
        <v>60</v>
      </c>
      <c r="J78" s="709">
        <v>265</v>
      </c>
      <c r="K78" s="708">
        <v>349</v>
      </c>
      <c r="L78" s="708">
        <v>31</v>
      </c>
      <c r="M78" s="709">
        <v>380</v>
      </c>
      <c r="N78" s="710">
        <f t="shared" si="7"/>
        <v>645</v>
      </c>
      <c r="O78" s="96">
        <f t="shared" si="5"/>
        <v>389</v>
      </c>
      <c r="P78" s="97">
        <f t="shared" si="6"/>
        <v>1.51953125</v>
      </c>
      <c r="Q78" s="98"/>
    </row>
    <row r="79" spans="1:17" ht="15.75" customHeight="1">
      <c r="A79" s="94" t="e">
        <f>LEFT(#REF!,3)</f>
        <v>#REF!</v>
      </c>
      <c r="B79" s="88">
        <v>70</v>
      </c>
      <c r="C79" s="714" t="s">
        <v>575</v>
      </c>
      <c r="D79" s="706" t="str">
        <f>+'ERON 2021'!A71</f>
        <v>EPMSCMON Montería</v>
      </c>
      <c r="E79" s="707">
        <v>840</v>
      </c>
      <c r="F79" s="708">
        <v>888</v>
      </c>
      <c r="G79" s="708">
        <v>85</v>
      </c>
      <c r="H79" s="708">
        <v>301</v>
      </c>
      <c r="I79" s="708">
        <v>31</v>
      </c>
      <c r="J79" s="709">
        <v>332</v>
      </c>
      <c r="K79" s="708">
        <v>587</v>
      </c>
      <c r="L79" s="708">
        <v>54</v>
      </c>
      <c r="M79" s="709">
        <v>641</v>
      </c>
      <c r="N79" s="710">
        <f t="shared" si="7"/>
        <v>973</v>
      </c>
      <c r="O79" s="96">
        <f t="shared" si="5"/>
        <v>133</v>
      </c>
      <c r="P79" s="97">
        <f t="shared" si="6"/>
        <v>0.15833333333333344</v>
      </c>
      <c r="Q79" s="98"/>
    </row>
    <row r="80" spans="1:17" ht="15.75" customHeight="1">
      <c r="A80" s="94" t="e">
        <f>LEFT(#REF!,3)</f>
        <v>#REF!</v>
      </c>
      <c r="B80" s="88">
        <v>71</v>
      </c>
      <c r="C80" s="714" t="s">
        <v>575</v>
      </c>
      <c r="D80" s="706" t="str">
        <f>+'ERON 2021'!A72</f>
        <v>EPMSCRIO Riohacha</v>
      </c>
      <c r="E80" s="712">
        <v>100</v>
      </c>
      <c r="F80" s="708">
        <v>250</v>
      </c>
      <c r="G80" s="708">
        <v>0</v>
      </c>
      <c r="H80" s="708">
        <v>112</v>
      </c>
      <c r="I80" s="708">
        <v>0</v>
      </c>
      <c r="J80" s="709">
        <v>112</v>
      </c>
      <c r="K80" s="708">
        <v>138</v>
      </c>
      <c r="L80" s="708">
        <v>0</v>
      </c>
      <c r="M80" s="709">
        <v>138</v>
      </c>
      <c r="N80" s="710">
        <f t="shared" si="7"/>
        <v>250</v>
      </c>
      <c r="O80" s="96">
        <f t="shared" si="5"/>
        <v>150</v>
      </c>
      <c r="P80" s="97">
        <f t="shared" si="6"/>
        <v>1.5</v>
      </c>
      <c r="Q80" s="98"/>
    </row>
    <row r="81" spans="1:17" ht="15.75" customHeight="1">
      <c r="A81" s="94" t="e">
        <f>LEFT(#REF!,3)</f>
        <v>#REF!</v>
      </c>
      <c r="B81" s="87">
        <v>72</v>
      </c>
      <c r="C81" s="714" t="s">
        <v>575</v>
      </c>
      <c r="D81" s="706" t="str">
        <f>+'ERON 2021'!A73</f>
        <v>EPMSCSM Santa Marta</v>
      </c>
      <c r="E81" s="712">
        <v>312</v>
      </c>
      <c r="F81" s="708">
        <v>740</v>
      </c>
      <c r="G81" s="708">
        <v>63</v>
      </c>
      <c r="H81" s="708">
        <v>369</v>
      </c>
      <c r="I81" s="708">
        <v>33</v>
      </c>
      <c r="J81" s="709">
        <v>402</v>
      </c>
      <c r="K81" s="708">
        <v>371</v>
      </c>
      <c r="L81" s="708">
        <v>30</v>
      </c>
      <c r="M81" s="709">
        <v>401</v>
      </c>
      <c r="N81" s="710">
        <f t="shared" si="7"/>
        <v>803</v>
      </c>
      <c r="O81" s="96">
        <f t="shared" si="5"/>
        <v>491</v>
      </c>
      <c r="P81" s="97">
        <f t="shared" si="6"/>
        <v>1.5737179487179489</v>
      </c>
      <c r="Q81" s="98"/>
    </row>
    <row r="82" spans="1:17" ht="15.75" customHeight="1">
      <c r="A82" s="94" t="e">
        <f>LEFT(#REF!,3)</f>
        <v>#REF!</v>
      </c>
      <c r="B82" s="87">
        <v>73</v>
      </c>
      <c r="C82" s="714" t="s">
        <v>575</v>
      </c>
      <c r="D82" s="706" t="str">
        <f>+'ERON 2021'!A74</f>
        <v>EPMSCEBA El Banco</v>
      </c>
      <c r="E82" s="707">
        <v>76</v>
      </c>
      <c r="F82" s="708">
        <v>75</v>
      </c>
      <c r="G82" s="708">
        <v>0</v>
      </c>
      <c r="H82" s="708">
        <v>29</v>
      </c>
      <c r="I82" s="708">
        <v>0</v>
      </c>
      <c r="J82" s="709">
        <v>29</v>
      </c>
      <c r="K82" s="708">
        <v>46</v>
      </c>
      <c r="L82" s="708">
        <v>0</v>
      </c>
      <c r="M82" s="709">
        <v>46</v>
      </c>
      <c r="N82" s="710">
        <f t="shared" si="7"/>
        <v>75</v>
      </c>
      <c r="O82" s="96">
        <f t="shared" si="5"/>
        <v>-1</v>
      </c>
      <c r="P82" s="97">
        <f t="shared" si="6"/>
        <v>-1.3157894736842146E-2</v>
      </c>
      <c r="Q82" s="98"/>
    </row>
    <row r="83" spans="1:17" ht="15.75" customHeight="1">
      <c r="A83" s="94" t="e">
        <f>LEFT(#REF!,3)</f>
        <v>#REF!</v>
      </c>
      <c r="B83" s="88">
        <v>74</v>
      </c>
      <c r="C83" s="714" t="s">
        <v>575</v>
      </c>
      <c r="D83" s="706" t="str">
        <f>+'ERON 2021'!A75</f>
        <v>EPMSCSA San Andrés</v>
      </c>
      <c r="E83" s="712">
        <v>136</v>
      </c>
      <c r="F83" s="708">
        <v>153</v>
      </c>
      <c r="G83" s="708">
        <v>16</v>
      </c>
      <c r="H83" s="708">
        <v>112</v>
      </c>
      <c r="I83" s="708">
        <v>16</v>
      </c>
      <c r="J83" s="709">
        <v>128</v>
      </c>
      <c r="K83" s="708">
        <v>41</v>
      </c>
      <c r="L83" s="708">
        <v>0</v>
      </c>
      <c r="M83" s="709">
        <v>41</v>
      </c>
      <c r="N83" s="710">
        <f t="shared" si="7"/>
        <v>169</v>
      </c>
      <c r="O83" s="96">
        <f t="shared" si="5"/>
        <v>33</v>
      </c>
      <c r="P83" s="97">
        <f t="shared" si="6"/>
        <v>0.24264705882352944</v>
      </c>
      <c r="Q83" s="98"/>
    </row>
    <row r="84" spans="1:17" ht="15.75" customHeight="1">
      <c r="A84" s="94" t="e">
        <f>LEFT(#REF!,3)</f>
        <v>#REF!</v>
      </c>
      <c r="B84" s="88">
        <v>75</v>
      </c>
      <c r="C84" s="714" t="s">
        <v>575</v>
      </c>
      <c r="D84" s="706" t="str">
        <f>+'ERON 2021'!A76</f>
        <v>EPMSCSIN Sincelejo</v>
      </c>
      <c r="E84" s="712">
        <v>512</v>
      </c>
      <c r="F84" s="708">
        <v>431</v>
      </c>
      <c r="G84" s="708">
        <v>18</v>
      </c>
      <c r="H84" s="708">
        <v>231</v>
      </c>
      <c r="I84" s="708">
        <v>11</v>
      </c>
      <c r="J84" s="709">
        <v>242</v>
      </c>
      <c r="K84" s="708">
        <v>200</v>
      </c>
      <c r="L84" s="708">
        <v>7</v>
      </c>
      <c r="M84" s="709">
        <v>207</v>
      </c>
      <c r="N84" s="710">
        <f t="shared" si="7"/>
        <v>449</v>
      </c>
      <c r="O84" s="96">
        <f t="shared" si="5"/>
        <v>-63</v>
      </c>
      <c r="P84" s="97">
        <f t="shared" si="6"/>
        <v>-0.123046875</v>
      </c>
      <c r="Q84" s="98"/>
    </row>
    <row r="85" spans="1:17" ht="15.75" customHeight="1">
      <c r="A85" s="1097" t="e">
        <f>LEFT(#REF!,3)</f>
        <v>#REF!</v>
      </c>
      <c r="B85" s="1096">
        <v>76</v>
      </c>
      <c r="C85" s="714" t="s">
        <v>575</v>
      </c>
      <c r="D85" s="706" t="str">
        <f>+'ERON 2021'!A77</f>
        <v>CPMSCOR Corozal</v>
      </c>
      <c r="E85" s="707">
        <v>45</v>
      </c>
      <c r="F85" s="708">
        <v>0</v>
      </c>
      <c r="G85" s="708">
        <v>0</v>
      </c>
      <c r="H85" s="708">
        <v>0</v>
      </c>
      <c r="I85" s="708">
        <v>0</v>
      </c>
      <c r="J85" s="709">
        <v>0</v>
      </c>
      <c r="K85" s="708">
        <v>0</v>
      </c>
      <c r="L85" s="708">
        <v>0</v>
      </c>
      <c r="M85" s="709">
        <v>0</v>
      </c>
      <c r="N85" s="710">
        <f t="shared" si="7"/>
        <v>0</v>
      </c>
      <c r="O85" s="96">
        <f t="shared" si="5"/>
        <v>-45</v>
      </c>
      <c r="P85" s="97">
        <f t="shared" si="6"/>
        <v>-1</v>
      </c>
      <c r="Q85" s="98"/>
    </row>
    <row r="86" spans="1:17" ht="15.75" customHeight="1">
      <c r="A86" s="94" t="e">
        <f>LEFT(#REF!,3)</f>
        <v>#REF!</v>
      </c>
      <c r="B86" s="87">
        <v>77</v>
      </c>
      <c r="C86" s="714" t="s">
        <v>575</v>
      </c>
      <c r="D86" s="706" t="str">
        <f>+'ERON 2021'!A78</f>
        <v>EPMSCBA-ERE Barranquilla</v>
      </c>
      <c r="E86" s="712">
        <v>640</v>
      </c>
      <c r="F86" s="708">
        <v>1072</v>
      </c>
      <c r="G86" s="708">
        <v>1</v>
      </c>
      <c r="H86" s="708">
        <v>530</v>
      </c>
      <c r="I86" s="708">
        <v>0</v>
      </c>
      <c r="J86" s="709">
        <v>530</v>
      </c>
      <c r="K86" s="708">
        <v>542</v>
      </c>
      <c r="L86" s="708">
        <v>1</v>
      </c>
      <c r="M86" s="709">
        <v>543</v>
      </c>
      <c r="N86" s="710">
        <f t="shared" si="7"/>
        <v>1073</v>
      </c>
      <c r="O86" s="96">
        <f t="shared" si="5"/>
        <v>433</v>
      </c>
      <c r="P86" s="97">
        <f t="shared" si="6"/>
        <v>0.67656249999999996</v>
      </c>
      <c r="Q86" s="98"/>
    </row>
    <row r="87" spans="1:17" ht="15.75" customHeight="1">
      <c r="A87" s="94" t="e">
        <f>LEFT(#REF!,3)</f>
        <v>#REF!</v>
      </c>
      <c r="B87" s="88">
        <v>78</v>
      </c>
      <c r="C87" s="714" t="s">
        <v>575</v>
      </c>
      <c r="D87" s="706" t="str">
        <f>+'ERON 2021'!A79</f>
        <v>CPAMSVAL Valledupar</v>
      </c>
      <c r="E87" s="712">
        <v>1452</v>
      </c>
      <c r="F87" s="708">
        <v>1596</v>
      </c>
      <c r="G87" s="708">
        <v>0</v>
      </c>
      <c r="H87" s="708">
        <v>426</v>
      </c>
      <c r="I87" s="708">
        <v>0</v>
      </c>
      <c r="J87" s="709">
        <v>426</v>
      </c>
      <c r="K87" s="708">
        <v>1170</v>
      </c>
      <c r="L87" s="708">
        <v>0</v>
      </c>
      <c r="M87" s="709">
        <v>1170</v>
      </c>
      <c r="N87" s="710">
        <f t="shared" si="7"/>
        <v>1596</v>
      </c>
      <c r="O87" s="96">
        <f t="shared" si="5"/>
        <v>144</v>
      </c>
      <c r="P87" s="97">
        <f t="shared" si="6"/>
        <v>9.9173553719008156E-2</v>
      </c>
      <c r="Q87" s="98"/>
    </row>
    <row r="88" spans="1:17" ht="15.75" customHeight="1">
      <c r="A88" s="94" t="e">
        <f>LEFT(#REF!,3)</f>
        <v>#REF!</v>
      </c>
      <c r="B88" s="88">
        <v>79</v>
      </c>
      <c r="C88" s="714" t="s">
        <v>575</v>
      </c>
      <c r="D88" s="706" t="str">
        <f>+'ERON 2021'!A80</f>
        <v>EPCTALT Tierralta</v>
      </c>
      <c r="E88" s="707">
        <v>203</v>
      </c>
      <c r="F88" s="708">
        <v>149</v>
      </c>
      <c r="G88" s="708">
        <v>0</v>
      </c>
      <c r="H88" s="708">
        <v>4</v>
      </c>
      <c r="I88" s="708">
        <v>0</v>
      </c>
      <c r="J88" s="709">
        <v>4</v>
      </c>
      <c r="K88" s="708">
        <v>145</v>
      </c>
      <c r="L88" s="708">
        <v>0</v>
      </c>
      <c r="M88" s="709">
        <v>145</v>
      </c>
      <c r="N88" s="710">
        <f t="shared" si="7"/>
        <v>149</v>
      </c>
      <c r="O88" s="96">
        <f t="shared" si="5"/>
        <v>-54</v>
      </c>
      <c r="P88" s="97">
        <f t="shared" si="6"/>
        <v>-0.26600985221674878</v>
      </c>
      <c r="Q88" s="98"/>
    </row>
    <row r="89" spans="1:17" ht="15.75" customHeight="1">
      <c r="A89" s="94" t="e">
        <f>LEFT(#REF!,3)</f>
        <v>#REF!</v>
      </c>
      <c r="B89" s="87">
        <v>80</v>
      </c>
      <c r="C89" s="715" t="s">
        <v>576</v>
      </c>
      <c r="D89" s="706" t="str">
        <f>+'ERON 2021'!A81</f>
        <v>EPMSCARA Arauca</v>
      </c>
      <c r="E89" s="712">
        <v>212</v>
      </c>
      <c r="F89" s="708">
        <v>297</v>
      </c>
      <c r="G89" s="708">
        <v>37</v>
      </c>
      <c r="H89" s="708">
        <v>157</v>
      </c>
      <c r="I89" s="708">
        <v>26</v>
      </c>
      <c r="J89" s="709">
        <v>183</v>
      </c>
      <c r="K89" s="708">
        <v>140</v>
      </c>
      <c r="L89" s="708">
        <v>11</v>
      </c>
      <c r="M89" s="709">
        <v>151</v>
      </c>
      <c r="N89" s="710">
        <f t="shared" si="7"/>
        <v>334</v>
      </c>
      <c r="O89" s="96">
        <f t="shared" si="5"/>
        <v>122</v>
      </c>
      <c r="P89" s="97">
        <f t="shared" si="6"/>
        <v>0.57547169811320753</v>
      </c>
      <c r="Q89" s="98"/>
    </row>
    <row r="90" spans="1:17" ht="15.75" customHeight="1">
      <c r="A90" s="94" t="e">
        <f>LEFT(#REF!,3)</f>
        <v>#REF!</v>
      </c>
      <c r="B90" s="87">
        <v>81</v>
      </c>
      <c r="C90" s="715" t="s">
        <v>576</v>
      </c>
      <c r="D90" s="706" t="str">
        <f>+'ERON 2021'!A82</f>
        <v>EPMSCAGU Aguachica</v>
      </c>
      <c r="E90" s="712">
        <v>78</v>
      </c>
      <c r="F90" s="708">
        <v>154</v>
      </c>
      <c r="G90" s="708">
        <v>0</v>
      </c>
      <c r="H90" s="708">
        <v>19</v>
      </c>
      <c r="I90" s="708">
        <v>0</v>
      </c>
      <c r="J90" s="709">
        <v>19</v>
      </c>
      <c r="K90" s="708">
        <v>135</v>
      </c>
      <c r="L90" s="708">
        <v>0</v>
      </c>
      <c r="M90" s="709">
        <v>135</v>
      </c>
      <c r="N90" s="710">
        <f t="shared" si="7"/>
        <v>154</v>
      </c>
      <c r="O90" s="96">
        <f t="shared" si="5"/>
        <v>76</v>
      </c>
      <c r="P90" s="97">
        <f t="shared" si="6"/>
        <v>0.97435897435897445</v>
      </c>
      <c r="Q90" s="98"/>
    </row>
    <row r="91" spans="1:17" ht="15.75" customHeight="1">
      <c r="A91" s="94" t="e">
        <f>LEFT(#REF!,3)</f>
        <v>#REF!</v>
      </c>
      <c r="B91" s="88">
        <v>82</v>
      </c>
      <c r="C91" s="715" t="s">
        <v>576</v>
      </c>
      <c r="D91" s="706" t="str">
        <f>+'ERON 2021'!A83</f>
        <v>EPMSCPAM Pamplona</v>
      </c>
      <c r="E91" s="707">
        <v>280</v>
      </c>
      <c r="F91" s="708">
        <v>303</v>
      </c>
      <c r="G91" s="708">
        <v>0</v>
      </c>
      <c r="H91" s="708">
        <v>55</v>
      </c>
      <c r="I91" s="708">
        <v>0</v>
      </c>
      <c r="J91" s="709">
        <v>55</v>
      </c>
      <c r="K91" s="708">
        <v>248</v>
      </c>
      <c r="L91" s="708">
        <v>0</v>
      </c>
      <c r="M91" s="709">
        <v>248</v>
      </c>
      <c r="N91" s="710">
        <f t="shared" si="7"/>
        <v>303</v>
      </c>
      <c r="O91" s="96">
        <f t="shared" si="5"/>
        <v>23</v>
      </c>
      <c r="P91" s="97">
        <f t="shared" si="6"/>
        <v>8.2142857142857073E-2</v>
      </c>
      <c r="Q91" s="98"/>
    </row>
    <row r="92" spans="1:17" ht="15.75" customHeight="1">
      <c r="A92" s="94" t="e">
        <f>LEFT(#REF!,3)</f>
        <v>#REF!</v>
      </c>
      <c r="B92" s="88">
        <v>83</v>
      </c>
      <c r="C92" s="715" t="s">
        <v>576</v>
      </c>
      <c r="D92" s="706" t="str">
        <f>+'ERON 2021'!A84</f>
        <v>EPMSCOC Ocaña</v>
      </c>
      <c r="E92" s="712">
        <v>198</v>
      </c>
      <c r="F92" s="708">
        <v>350</v>
      </c>
      <c r="G92" s="708">
        <v>15</v>
      </c>
      <c r="H92" s="708">
        <v>192</v>
      </c>
      <c r="I92" s="708">
        <v>10</v>
      </c>
      <c r="J92" s="709">
        <v>202</v>
      </c>
      <c r="K92" s="708">
        <v>158</v>
      </c>
      <c r="L92" s="708">
        <v>5</v>
      </c>
      <c r="M92" s="709">
        <v>163</v>
      </c>
      <c r="N92" s="710">
        <f t="shared" si="7"/>
        <v>365</v>
      </c>
      <c r="O92" s="96">
        <f t="shared" si="5"/>
        <v>167</v>
      </c>
      <c r="P92" s="97">
        <f t="shared" si="6"/>
        <v>0.84343434343434343</v>
      </c>
      <c r="Q92" s="98"/>
    </row>
    <row r="93" spans="1:17" ht="15.75" customHeight="1">
      <c r="A93" s="94" t="e">
        <f>LEFT(#REF!,3)</f>
        <v>#REF!</v>
      </c>
      <c r="B93" s="1103">
        <v>84</v>
      </c>
      <c r="C93" s="715" t="s">
        <v>576</v>
      </c>
      <c r="D93" s="706" t="str">
        <f>+'ERON 2021'!A85</f>
        <v>CPMSBUC-ERE-JP Bucaramanga</v>
      </c>
      <c r="E93" s="712">
        <v>1520</v>
      </c>
      <c r="F93" s="708">
        <v>1609</v>
      </c>
      <c r="G93" s="708">
        <v>0</v>
      </c>
      <c r="H93" s="708">
        <v>408</v>
      </c>
      <c r="I93" s="708">
        <v>0</v>
      </c>
      <c r="J93" s="709">
        <v>408</v>
      </c>
      <c r="K93" s="708">
        <v>1201</v>
      </c>
      <c r="L93" s="708">
        <v>0</v>
      </c>
      <c r="M93" s="709">
        <v>1201</v>
      </c>
      <c r="N93" s="710">
        <f t="shared" si="7"/>
        <v>1609</v>
      </c>
      <c r="O93" s="96">
        <f t="shared" si="5"/>
        <v>89</v>
      </c>
      <c r="P93" s="97">
        <f t="shared" si="6"/>
        <v>5.8552631578947301E-2</v>
      </c>
      <c r="Q93" s="98"/>
    </row>
    <row r="94" spans="1:17" ht="15.75" customHeight="1">
      <c r="A94" s="94" t="e">
        <f>LEFT(#REF!,3)</f>
        <v>#REF!</v>
      </c>
      <c r="B94" s="87">
        <v>85</v>
      </c>
      <c r="C94" s="715" t="s">
        <v>576</v>
      </c>
      <c r="D94" s="706" t="str">
        <f>+'ERON 2021'!A86</f>
        <v>EPMSCBBJ Barrancabermeja</v>
      </c>
      <c r="E94" s="707">
        <v>185</v>
      </c>
      <c r="F94" s="708">
        <v>203</v>
      </c>
      <c r="G94" s="708">
        <v>0</v>
      </c>
      <c r="H94" s="708">
        <v>30</v>
      </c>
      <c r="I94" s="708">
        <v>0</v>
      </c>
      <c r="J94" s="709">
        <v>30</v>
      </c>
      <c r="K94" s="708">
        <v>173</v>
      </c>
      <c r="L94" s="708">
        <v>0</v>
      </c>
      <c r="M94" s="709">
        <v>173</v>
      </c>
      <c r="N94" s="710">
        <f t="shared" si="7"/>
        <v>203</v>
      </c>
      <c r="O94" s="96">
        <f t="shared" si="5"/>
        <v>18</v>
      </c>
      <c r="P94" s="97">
        <f t="shared" si="6"/>
        <v>9.7297297297297192E-2</v>
      </c>
      <c r="Q94" s="98"/>
    </row>
    <row r="95" spans="1:17" ht="15.75" customHeight="1">
      <c r="A95" s="94" t="e">
        <f>LEFT(#REF!,3)</f>
        <v>#REF!</v>
      </c>
      <c r="B95" s="88">
        <v>86</v>
      </c>
      <c r="C95" s="715" t="s">
        <v>576</v>
      </c>
      <c r="D95" s="706" t="str">
        <f>+'ERON 2021'!A87</f>
        <v>EPMSCMAL Málaga</v>
      </c>
      <c r="E95" s="712">
        <v>60</v>
      </c>
      <c r="F95" s="708">
        <v>86</v>
      </c>
      <c r="G95" s="708">
        <v>0</v>
      </c>
      <c r="H95" s="708">
        <v>24</v>
      </c>
      <c r="I95" s="708">
        <v>0</v>
      </c>
      <c r="J95" s="709">
        <v>24</v>
      </c>
      <c r="K95" s="708">
        <v>62</v>
      </c>
      <c r="L95" s="708">
        <v>0</v>
      </c>
      <c r="M95" s="709">
        <v>62</v>
      </c>
      <c r="N95" s="710">
        <f t="shared" si="7"/>
        <v>86</v>
      </c>
      <c r="O95" s="96">
        <f t="shared" si="5"/>
        <v>26</v>
      </c>
      <c r="P95" s="97">
        <f t="shared" si="6"/>
        <v>0.43333333333333335</v>
      </c>
      <c r="Q95" s="98"/>
    </row>
    <row r="96" spans="1:17" ht="15.75" customHeight="1">
      <c r="A96" s="94" t="e">
        <f>LEFT(#REF!,3)</f>
        <v>#REF!</v>
      </c>
      <c r="B96" s="88">
        <v>87</v>
      </c>
      <c r="C96" s="715" t="s">
        <v>576</v>
      </c>
      <c r="D96" s="706" t="str">
        <f>+'ERON 2021'!A88</f>
        <v>EPMSSGI San Gil</v>
      </c>
      <c r="E96" s="712">
        <v>262</v>
      </c>
      <c r="F96" s="708">
        <v>296</v>
      </c>
      <c r="G96" s="708">
        <v>0</v>
      </c>
      <c r="H96" s="708">
        <v>0</v>
      </c>
      <c r="I96" s="708">
        <v>0</v>
      </c>
      <c r="J96" s="709">
        <v>0</v>
      </c>
      <c r="K96" s="708">
        <v>296</v>
      </c>
      <c r="L96" s="708">
        <v>0</v>
      </c>
      <c r="M96" s="709">
        <v>296</v>
      </c>
      <c r="N96" s="710">
        <f t="shared" si="7"/>
        <v>296</v>
      </c>
      <c r="O96" s="96">
        <f t="shared" si="5"/>
        <v>34</v>
      </c>
      <c r="P96" s="97">
        <f t="shared" si="6"/>
        <v>0.12977099236641232</v>
      </c>
      <c r="Q96" s="98"/>
    </row>
    <row r="97" spans="1:17" ht="15.75" customHeight="1">
      <c r="A97" s="94" t="e">
        <f>LEFT(#REF!,3)</f>
        <v>#REF!</v>
      </c>
      <c r="B97" s="87">
        <v>88</v>
      </c>
      <c r="C97" s="715" t="s">
        <v>576</v>
      </c>
      <c r="D97" s="706" t="str">
        <f>+'ERON 2021'!A89</f>
        <v>EPMSCSOC Socorro</v>
      </c>
      <c r="E97" s="707">
        <v>318</v>
      </c>
      <c r="F97" s="708">
        <v>491</v>
      </c>
      <c r="G97" s="708">
        <v>0</v>
      </c>
      <c r="H97" s="708">
        <v>98</v>
      </c>
      <c r="I97" s="708">
        <v>0</v>
      </c>
      <c r="J97" s="709">
        <v>98</v>
      </c>
      <c r="K97" s="708">
        <v>393</v>
      </c>
      <c r="L97" s="708">
        <v>0</v>
      </c>
      <c r="M97" s="709">
        <v>393</v>
      </c>
      <c r="N97" s="710">
        <f t="shared" si="7"/>
        <v>491</v>
      </c>
      <c r="O97" s="96">
        <f t="shared" si="5"/>
        <v>173</v>
      </c>
      <c r="P97" s="97">
        <f t="shared" si="6"/>
        <v>0.54402515723270439</v>
      </c>
      <c r="Q97" s="98"/>
    </row>
    <row r="98" spans="1:17" ht="15.75" customHeight="1">
      <c r="A98" s="94" t="e">
        <f>LEFT(#REF!,3)</f>
        <v>#REF!</v>
      </c>
      <c r="B98" s="87">
        <v>89</v>
      </c>
      <c r="C98" s="715" t="s">
        <v>576</v>
      </c>
      <c r="D98" s="706" t="str">
        <f>+'ERON 2021'!A90</f>
        <v>CPMSSVC San Vicente de Chucurí</v>
      </c>
      <c r="E98" s="712">
        <v>56</v>
      </c>
      <c r="F98" s="708">
        <v>58</v>
      </c>
      <c r="G98" s="708">
        <v>0</v>
      </c>
      <c r="H98" s="708">
        <v>27</v>
      </c>
      <c r="I98" s="708">
        <v>0</v>
      </c>
      <c r="J98" s="709">
        <v>27</v>
      </c>
      <c r="K98" s="708">
        <v>31</v>
      </c>
      <c r="L98" s="708">
        <v>0</v>
      </c>
      <c r="M98" s="709">
        <v>31</v>
      </c>
      <c r="N98" s="710">
        <f t="shared" si="7"/>
        <v>58</v>
      </c>
      <c r="O98" s="96">
        <f t="shared" si="5"/>
        <v>2</v>
      </c>
      <c r="P98" s="97">
        <f t="shared" si="6"/>
        <v>3.5714285714285809E-2</v>
      </c>
      <c r="Q98" s="98"/>
    </row>
    <row r="99" spans="1:17" ht="15.75" customHeight="1">
      <c r="A99" s="94" t="e">
        <f>LEFT(#REF!,3)</f>
        <v>#REF!</v>
      </c>
      <c r="B99" s="1098">
        <v>90</v>
      </c>
      <c r="C99" s="715" t="s">
        <v>576</v>
      </c>
      <c r="D99" s="706" t="str">
        <f>+'ERON 2021'!A91</f>
        <v>EPMSCVEL Vélez</v>
      </c>
      <c r="E99" s="712">
        <v>192</v>
      </c>
      <c r="F99" s="708">
        <v>253</v>
      </c>
      <c r="G99" s="708">
        <v>0</v>
      </c>
      <c r="H99" s="708">
        <v>88</v>
      </c>
      <c r="I99" s="708">
        <v>0</v>
      </c>
      <c r="J99" s="709">
        <v>88</v>
      </c>
      <c r="K99" s="708">
        <v>165</v>
      </c>
      <c r="L99" s="708">
        <v>0</v>
      </c>
      <c r="M99" s="709">
        <v>165</v>
      </c>
      <c r="N99" s="710">
        <f t="shared" si="7"/>
        <v>253</v>
      </c>
      <c r="O99" s="96">
        <f t="shared" si="5"/>
        <v>61</v>
      </c>
      <c r="P99" s="97">
        <f t="shared" si="6"/>
        <v>0.31770833333333326</v>
      </c>
      <c r="Q99" s="98"/>
    </row>
    <row r="100" spans="1:17" ht="15.75" customHeight="1">
      <c r="A100" s="94" t="e">
        <f>LEFT(#REF!,3)</f>
        <v>#REF!</v>
      </c>
      <c r="B100" s="1101">
        <v>91</v>
      </c>
      <c r="C100" s="715" t="s">
        <v>576</v>
      </c>
      <c r="D100" s="706" t="str">
        <f>+'ERON 2021'!A92</f>
        <v>CPMSMBUC Bucaramanga</v>
      </c>
      <c r="E100" s="707">
        <v>247</v>
      </c>
      <c r="F100" s="708">
        <v>0</v>
      </c>
      <c r="G100" s="708">
        <v>232</v>
      </c>
      <c r="H100" s="708">
        <v>0</v>
      </c>
      <c r="I100" s="708">
        <v>97</v>
      </c>
      <c r="J100" s="709">
        <v>97</v>
      </c>
      <c r="K100" s="708">
        <v>0</v>
      </c>
      <c r="L100" s="708">
        <v>135</v>
      </c>
      <c r="M100" s="709">
        <v>135</v>
      </c>
      <c r="N100" s="710">
        <f t="shared" si="7"/>
        <v>232</v>
      </c>
      <c r="O100" s="96">
        <f t="shared" si="5"/>
        <v>-15</v>
      </c>
      <c r="P100" s="97">
        <f t="shared" si="6"/>
        <v>-6.0728744939271273E-2</v>
      </c>
      <c r="Q100" s="98"/>
    </row>
    <row r="101" spans="1:17" ht="15.75" customHeight="1">
      <c r="A101" s="94" t="e">
        <f>LEFT(#REF!,3)</f>
        <v>#REF!</v>
      </c>
      <c r="B101" s="87">
        <v>92</v>
      </c>
      <c r="C101" s="715" t="s">
        <v>576</v>
      </c>
      <c r="D101" s="706" t="str">
        <f>+'ERON 2021'!A93</f>
        <v>CPAMSGIR Girón</v>
      </c>
      <c r="E101" s="712">
        <v>2424</v>
      </c>
      <c r="F101" s="708">
        <v>2148</v>
      </c>
      <c r="G101" s="708">
        <v>0</v>
      </c>
      <c r="H101" s="708">
        <v>177</v>
      </c>
      <c r="I101" s="708">
        <v>0</v>
      </c>
      <c r="J101" s="709">
        <v>177</v>
      </c>
      <c r="K101" s="708">
        <v>1971</v>
      </c>
      <c r="L101" s="708">
        <v>0</v>
      </c>
      <c r="M101" s="709">
        <v>1971</v>
      </c>
      <c r="N101" s="710">
        <f t="shared" si="7"/>
        <v>2148</v>
      </c>
      <c r="O101" s="96">
        <f t="shared" si="5"/>
        <v>-276</v>
      </c>
      <c r="P101" s="97">
        <f t="shared" si="6"/>
        <v>-0.11386138613861385</v>
      </c>
      <c r="Q101" s="98"/>
    </row>
    <row r="102" spans="1:17" ht="15.75" customHeight="1">
      <c r="A102" s="94" t="e">
        <f>LEFT(#REF!,3)</f>
        <v>#REF!</v>
      </c>
      <c r="B102" s="87">
        <v>93</v>
      </c>
      <c r="C102" s="715" t="s">
        <v>576</v>
      </c>
      <c r="D102" s="706" t="str">
        <f>+'ERON 2021'!A94</f>
        <v>COCUC - ERE Cúcuta</v>
      </c>
      <c r="E102" s="712">
        <v>2636</v>
      </c>
      <c r="F102" s="708">
        <v>2924</v>
      </c>
      <c r="G102" s="708">
        <v>375</v>
      </c>
      <c r="H102" s="708">
        <v>1167</v>
      </c>
      <c r="I102" s="708">
        <v>163</v>
      </c>
      <c r="J102" s="709">
        <v>1330</v>
      </c>
      <c r="K102" s="708">
        <v>1757</v>
      </c>
      <c r="L102" s="708">
        <v>212</v>
      </c>
      <c r="M102" s="709">
        <v>1969</v>
      </c>
      <c r="N102" s="710">
        <f t="shared" si="7"/>
        <v>3299</v>
      </c>
      <c r="O102" s="96">
        <f t="shared" si="5"/>
        <v>663</v>
      </c>
      <c r="P102" s="97">
        <f t="shared" si="6"/>
        <v>0.25151745068285281</v>
      </c>
      <c r="Q102" s="98"/>
    </row>
    <row r="103" spans="1:17" ht="15.75" customHeight="1">
      <c r="A103" s="94" t="e">
        <f>LEFT(#REF!,3)</f>
        <v>#REF!</v>
      </c>
      <c r="B103" s="88">
        <v>94</v>
      </c>
      <c r="C103" s="716" t="s">
        <v>577</v>
      </c>
      <c r="D103" s="706" t="str">
        <f>+'ERON 2021'!A95</f>
        <v>CPAMSPA-ERE La Paz</v>
      </c>
      <c r="E103" s="707">
        <v>375</v>
      </c>
      <c r="F103" s="708">
        <v>1082</v>
      </c>
      <c r="G103" s="708">
        <v>0</v>
      </c>
      <c r="H103" s="708">
        <v>173</v>
      </c>
      <c r="I103" s="708">
        <v>0</v>
      </c>
      <c r="J103" s="709">
        <v>173</v>
      </c>
      <c r="K103" s="708">
        <v>909</v>
      </c>
      <c r="L103" s="708">
        <v>0</v>
      </c>
      <c r="M103" s="709">
        <v>909</v>
      </c>
      <c r="N103" s="710">
        <f t="shared" si="7"/>
        <v>1082</v>
      </c>
      <c r="O103" s="96">
        <f t="shared" si="5"/>
        <v>707</v>
      </c>
      <c r="P103" s="97">
        <f t="shared" si="6"/>
        <v>1.8853333333333335</v>
      </c>
      <c r="Q103" s="98"/>
    </row>
    <row r="104" spans="1:17" ht="15.75" customHeight="1">
      <c r="A104" s="94" t="e">
        <f>LEFT(#REF!,3)</f>
        <v>#REF!</v>
      </c>
      <c r="B104" s="88">
        <v>95</v>
      </c>
      <c r="C104" s="716" t="s">
        <v>577</v>
      </c>
      <c r="D104" s="706" t="str">
        <f>+'ERON 2021'!A96</f>
        <v>CPMSBEL Bello</v>
      </c>
      <c r="E104" s="712">
        <v>1368</v>
      </c>
      <c r="F104" s="708">
        <v>2509</v>
      </c>
      <c r="G104" s="708">
        <v>0</v>
      </c>
      <c r="H104" s="708">
        <v>219</v>
      </c>
      <c r="I104" s="708">
        <v>0</v>
      </c>
      <c r="J104" s="709">
        <v>219</v>
      </c>
      <c r="K104" s="708">
        <v>2290</v>
      </c>
      <c r="L104" s="708">
        <v>0</v>
      </c>
      <c r="M104" s="709">
        <v>2290</v>
      </c>
      <c r="N104" s="710">
        <f t="shared" si="7"/>
        <v>2509</v>
      </c>
      <c r="O104" s="96">
        <f t="shared" si="5"/>
        <v>1141</v>
      </c>
      <c r="P104" s="97">
        <f t="shared" si="6"/>
        <v>0.83406432748538006</v>
      </c>
      <c r="Q104" s="98"/>
    </row>
    <row r="105" spans="1:17" ht="15.75" customHeight="1">
      <c r="A105" s="94" t="e">
        <f>LEFT(#REF!,3)</f>
        <v>#REF!</v>
      </c>
      <c r="B105" s="87">
        <v>96</v>
      </c>
      <c r="C105" s="716" t="s">
        <v>577</v>
      </c>
      <c r="D105" s="706" t="str">
        <f>+'ERON 2021'!A97</f>
        <v>EPMSCAND Andes</v>
      </c>
      <c r="E105" s="712">
        <v>168</v>
      </c>
      <c r="F105" s="708">
        <v>402</v>
      </c>
      <c r="G105" s="708">
        <v>0</v>
      </c>
      <c r="H105" s="708">
        <v>41</v>
      </c>
      <c r="I105" s="708">
        <v>0</v>
      </c>
      <c r="J105" s="709">
        <v>41</v>
      </c>
      <c r="K105" s="708">
        <v>361</v>
      </c>
      <c r="L105" s="708">
        <v>0</v>
      </c>
      <c r="M105" s="709">
        <v>361</v>
      </c>
      <c r="N105" s="710">
        <f t="shared" si="7"/>
        <v>402</v>
      </c>
      <c r="O105" s="96">
        <f t="shared" si="5"/>
        <v>234</v>
      </c>
      <c r="P105" s="97">
        <f t="shared" si="6"/>
        <v>1.3928571428571428</v>
      </c>
      <c r="Q105" s="98"/>
    </row>
    <row r="106" spans="1:17" ht="15.75" customHeight="1">
      <c r="A106" s="94" t="e">
        <f>LEFT(#REF!,3)</f>
        <v>#REF!</v>
      </c>
      <c r="B106" s="87">
        <v>97</v>
      </c>
      <c r="C106" s="716" t="s">
        <v>577</v>
      </c>
      <c r="D106" s="706" t="str">
        <f>+'ERON 2021'!A98</f>
        <v>EPMSCBOV Bolívar -Antioquia</v>
      </c>
      <c r="E106" s="707">
        <v>124</v>
      </c>
      <c r="F106" s="708">
        <v>134</v>
      </c>
      <c r="G106" s="708">
        <v>0</v>
      </c>
      <c r="H106" s="708">
        <v>18</v>
      </c>
      <c r="I106" s="708">
        <v>0</v>
      </c>
      <c r="J106" s="709">
        <v>18</v>
      </c>
      <c r="K106" s="708">
        <v>116</v>
      </c>
      <c r="L106" s="708">
        <v>0</v>
      </c>
      <c r="M106" s="709">
        <v>116</v>
      </c>
      <c r="N106" s="710">
        <f t="shared" si="7"/>
        <v>134</v>
      </c>
      <c r="O106" s="96">
        <f t="shared" ref="O106:O137" si="8">N106-E106</f>
        <v>10</v>
      </c>
      <c r="P106" s="97">
        <f t="shared" ref="P106:P141" si="9">IFERROR((N106/E106)-100%,0)</f>
        <v>8.0645161290322509E-2</v>
      </c>
      <c r="Q106" s="98"/>
    </row>
    <row r="107" spans="1:17" ht="15.75" customHeight="1">
      <c r="A107" s="94" t="e">
        <f>LEFT(#REF!,3)</f>
        <v>#REF!</v>
      </c>
      <c r="B107" s="88">
        <v>98</v>
      </c>
      <c r="C107" s="716" t="s">
        <v>577</v>
      </c>
      <c r="D107" s="706" t="str">
        <f>+'ERON 2021'!A99</f>
        <v>EPMSCCAU Caucasia</v>
      </c>
      <c r="E107" s="712">
        <v>63</v>
      </c>
      <c r="F107" s="708">
        <v>138</v>
      </c>
      <c r="G107" s="708">
        <v>0</v>
      </c>
      <c r="H107" s="708">
        <v>21</v>
      </c>
      <c r="I107" s="708">
        <v>0</v>
      </c>
      <c r="J107" s="709">
        <v>21</v>
      </c>
      <c r="K107" s="708">
        <v>117</v>
      </c>
      <c r="L107" s="708">
        <v>0</v>
      </c>
      <c r="M107" s="709">
        <v>117</v>
      </c>
      <c r="N107" s="710">
        <f t="shared" si="7"/>
        <v>138</v>
      </c>
      <c r="O107" s="96">
        <f t="shared" si="8"/>
        <v>75</v>
      </c>
      <c r="P107" s="97">
        <f t="shared" si="9"/>
        <v>1.1904761904761907</v>
      </c>
      <c r="Q107" s="98"/>
    </row>
    <row r="108" spans="1:17" ht="15.75" customHeight="1">
      <c r="A108" s="94" t="e">
        <f>LEFT(#REF!,3)</f>
        <v>#REF!</v>
      </c>
      <c r="B108" s="88">
        <v>99</v>
      </c>
      <c r="C108" s="716" t="s">
        <v>577</v>
      </c>
      <c r="D108" s="706" t="str">
        <f>+'ERON 2021'!A100</f>
        <v>CPMSJER Jerico</v>
      </c>
      <c r="E108" s="712">
        <v>83</v>
      </c>
      <c r="F108" s="708">
        <v>99</v>
      </c>
      <c r="G108" s="708">
        <v>0</v>
      </c>
      <c r="H108" s="708">
        <v>10</v>
      </c>
      <c r="I108" s="708">
        <v>0</v>
      </c>
      <c r="J108" s="709">
        <v>10</v>
      </c>
      <c r="K108" s="708">
        <v>89</v>
      </c>
      <c r="L108" s="708">
        <v>0</v>
      </c>
      <c r="M108" s="709">
        <v>89</v>
      </c>
      <c r="N108" s="710">
        <f t="shared" si="7"/>
        <v>99</v>
      </c>
      <c r="O108" s="96">
        <f t="shared" si="8"/>
        <v>16</v>
      </c>
      <c r="P108" s="97">
        <f t="shared" si="9"/>
        <v>0.19277108433734935</v>
      </c>
      <c r="Q108" s="98"/>
    </row>
    <row r="109" spans="1:17" ht="15.75" customHeight="1">
      <c r="A109" s="94" t="e">
        <f>LEFT(#REF!,3)</f>
        <v>#REF!</v>
      </c>
      <c r="B109" s="87">
        <v>100</v>
      </c>
      <c r="C109" s="716" t="s">
        <v>577</v>
      </c>
      <c r="D109" s="706" t="str">
        <f>+'ERON 2021'!A101</f>
        <v>EPMSCLCJ La Ceja</v>
      </c>
      <c r="E109" s="707">
        <v>114</v>
      </c>
      <c r="F109" s="708">
        <v>233</v>
      </c>
      <c r="G109" s="708">
        <v>0</v>
      </c>
      <c r="H109" s="708">
        <v>32</v>
      </c>
      <c r="I109" s="708">
        <v>0</v>
      </c>
      <c r="J109" s="709">
        <v>32</v>
      </c>
      <c r="K109" s="708">
        <v>201</v>
      </c>
      <c r="L109" s="708">
        <v>0</v>
      </c>
      <c r="M109" s="709">
        <v>201</v>
      </c>
      <c r="N109" s="710">
        <f t="shared" si="7"/>
        <v>233</v>
      </c>
      <c r="O109" s="96">
        <f t="shared" si="8"/>
        <v>119</v>
      </c>
      <c r="P109" s="97">
        <f t="shared" si="9"/>
        <v>1.0438596491228069</v>
      </c>
      <c r="Q109" s="98"/>
    </row>
    <row r="110" spans="1:17" ht="15.75" customHeight="1">
      <c r="A110" s="94" t="e">
        <f>LEFT(#REF!,3)</f>
        <v>#REF!</v>
      </c>
      <c r="B110" s="87">
        <v>101</v>
      </c>
      <c r="C110" s="716" t="s">
        <v>577</v>
      </c>
      <c r="D110" s="706" t="str">
        <f>+'ERON 2021'!A102</f>
        <v>EPMSCPBE Puerto Berrio</v>
      </c>
      <c r="E110" s="712">
        <v>150</v>
      </c>
      <c r="F110" s="708">
        <v>254</v>
      </c>
      <c r="G110" s="708">
        <v>0</v>
      </c>
      <c r="H110" s="708">
        <v>98</v>
      </c>
      <c r="I110" s="708">
        <v>0</v>
      </c>
      <c r="J110" s="709">
        <v>98</v>
      </c>
      <c r="K110" s="708">
        <v>156</v>
      </c>
      <c r="L110" s="708">
        <v>0</v>
      </c>
      <c r="M110" s="709">
        <v>156</v>
      </c>
      <c r="N110" s="710">
        <f t="shared" si="7"/>
        <v>254</v>
      </c>
      <c r="O110" s="96">
        <f t="shared" si="8"/>
        <v>104</v>
      </c>
      <c r="P110" s="97">
        <f t="shared" si="9"/>
        <v>0.69333333333333336</v>
      </c>
      <c r="Q110" s="98"/>
    </row>
    <row r="111" spans="1:17" ht="15.75" customHeight="1">
      <c r="A111" s="94" t="e">
        <f>LEFT(#REF!,3)</f>
        <v>#REF!</v>
      </c>
      <c r="B111" s="88">
        <v>102</v>
      </c>
      <c r="C111" s="716" t="s">
        <v>577</v>
      </c>
      <c r="D111" s="706" t="str">
        <f>+'ERON 2021'!A103</f>
        <v>EPMSCSBA Santa Bárbara</v>
      </c>
      <c r="E111" s="712">
        <v>50</v>
      </c>
      <c r="F111" s="708">
        <v>131</v>
      </c>
      <c r="G111" s="708">
        <v>0</v>
      </c>
      <c r="H111" s="708">
        <v>12</v>
      </c>
      <c r="I111" s="708">
        <v>0</v>
      </c>
      <c r="J111" s="709">
        <v>12</v>
      </c>
      <c r="K111" s="708">
        <v>119</v>
      </c>
      <c r="L111" s="708">
        <v>0</v>
      </c>
      <c r="M111" s="709">
        <v>119</v>
      </c>
      <c r="N111" s="710">
        <f t="shared" si="7"/>
        <v>131</v>
      </c>
      <c r="O111" s="96">
        <f t="shared" si="8"/>
        <v>81</v>
      </c>
      <c r="P111" s="97">
        <f t="shared" si="9"/>
        <v>1.62</v>
      </c>
      <c r="Q111" s="98"/>
    </row>
    <row r="112" spans="1:17" ht="15.75" customHeight="1">
      <c r="A112" s="94" t="e">
        <f>LEFT(#REF!,3)</f>
        <v>#REF!</v>
      </c>
      <c r="B112" s="88">
        <v>103</v>
      </c>
      <c r="C112" s="716" t="s">
        <v>577</v>
      </c>
      <c r="D112" s="706" t="str">
        <f>+'ERON 2021'!A104</f>
        <v>CPMSSDO Santo Domingo</v>
      </c>
      <c r="E112" s="707">
        <v>115</v>
      </c>
      <c r="F112" s="708">
        <v>142</v>
      </c>
      <c r="G112" s="708">
        <v>0</v>
      </c>
      <c r="H112" s="708">
        <v>13</v>
      </c>
      <c r="I112" s="708">
        <v>0</v>
      </c>
      <c r="J112" s="709">
        <v>13</v>
      </c>
      <c r="K112" s="708">
        <v>129</v>
      </c>
      <c r="L112" s="708">
        <v>0</v>
      </c>
      <c r="M112" s="709">
        <v>129</v>
      </c>
      <c r="N112" s="710">
        <f t="shared" si="7"/>
        <v>142</v>
      </c>
      <c r="O112" s="96">
        <f t="shared" si="8"/>
        <v>27</v>
      </c>
      <c r="P112" s="97">
        <f t="shared" si="9"/>
        <v>0.23478260869565215</v>
      </c>
      <c r="Q112" s="98"/>
    </row>
    <row r="113" spans="1:17" ht="15.75" customHeight="1">
      <c r="A113" s="94" t="e">
        <f>LEFT(#REF!,3)</f>
        <v>#REF!</v>
      </c>
      <c r="B113" s="87">
        <v>104</v>
      </c>
      <c r="C113" s="716" t="s">
        <v>577</v>
      </c>
      <c r="D113" s="706" t="str">
        <f>+'ERON 2021'!A105</f>
        <v>EPMSCSRO Santa Rosa de Osos</v>
      </c>
      <c r="E113" s="712">
        <v>76</v>
      </c>
      <c r="F113" s="708">
        <v>111</v>
      </c>
      <c r="G113" s="708">
        <v>0</v>
      </c>
      <c r="H113" s="708">
        <v>16</v>
      </c>
      <c r="I113" s="708">
        <v>0</v>
      </c>
      <c r="J113" s="709">
        <v>16</v>
      </c>
      <c r="K113" s="708">
        <v>95</v>
      </c>
      <c r="L113" s="708">
        <v>0</v>
      </c>
      <c r="M113" s="709">
        <v>95</v>
      </c>
      <c r="N113" s="710">
        <f t="shared" si="7"/>
        <v>111</v>
      </c>
      <c r="O113" s="96">
        <f t="shared" si="8"/>
        <v>35</v>
      </c>
      <c r="P113" s="97">
        <f t="shared" si="9"/>
        <v>0.46052631578947367</v>
      </c>
      <c r="Q113" s="98"/>
    </row>
    <row r="114" spans="1:17" ht="15.75" customHeight="1">
      <c r="A114" s="94" t="e">
        <f>LEFT(#REF!,3)</f>
        <v>#REF!</v>
      </c>
      <c r="B114" s="87">
        <v>105</v>
      </c>
      <c r="C114" s="716" t="s">
        <v>577</v>
      </c>
      <c r="D114" s="706" t="str">
        <f>+'ERON 2021'!A106</f>
        <v>EPMSCSON Sonson</v>
      </c>
      <c r="E114" s="712">
        <v>75</v>
      </c>
      <c r="F114" s="708">
        <v>114</v>
      </c>
      <c r="G114" s="708">
        <v>0</v>
      </c>
      <c r="H114" s="708">
        <v>6</v>
      </c>
      <c r="I114" s="708">
        <v>0</v>
      </c>
      <c r="J114" s="709">
        <v>6</v>
      </c>
      <c r="K114" s="708">
        <v>108</v>
      </c>
      <c r="L114" s="708">
        <v>0</v>
      </c>
      <c r="M114" s="709">
        <v>108</v>
      </c>
      <c r="N114" s="710">
        <f t="shared" si="7"/>
        <v>114</v>
      </c>
      <c r="O114" s="96">
        <f t="shared" si="8"/>
        <v>39</v>
      </c>
      <c r="P114" s="97">
        <f t="shared" si="9"/>
        <v>0.52</v>
      </c>
      <c r="Q114" s="98"/>
    </row>
    <row r="115" spans="1:17" ht="15.75" customHeight="1">
      <c r="A115" s="94" t="e">
        <f>LEFT(#REF!,3)</f>
        <v>#REF!</v>
      </c>
      <c r="B115" s="88">
        <v>106</v>
      </c>
      <c r="C115" s="716" t="s">
        <v>577</v>
      </c>
      <c r="D115" s="706" t="str">
        <f>+'ERON 2021'!A107</f>
        <v>EPMSCTAM Támesis</v>
      </c>
      <c r="E115" s="707">
        <v>62</v>
      </c>
      <c r="F115" s="708">
        <v>85</v>
      </c>
      <c r="G115" s="708">
        <v>0</v>
      </c>
      <c r="H115" s="708">
        <v>5</v>
      </c>
      <c r="I115" s="708">
        <v>0</v>
      </c>
      <c r="J115" s="709">
        <v>5</v>
      </c>
      <c r="K115" s="708">
        <v>80</v>
      </c>
      <c r="L115" s="708">
        <v>0</v>
      </c>
      <c r="M115" s="709">
        <v>80</v>
      </c>
      <c r="N115" s="710">
        <f t="shared" si="7"/>
        <v>85</v>
      </c>
      <c r="O115" s="96">
        <f t="shared" si="8"/>
        <v>23</v>
      </c>
      <c r="P115" s="97">
        <f t="shared" si="9"/>
        <v>0.37096774193548376</v>
      </c>
      <c r="Q115" s="98"/>
    </row>
    <row r="116" spans="1:17" ht="15.75" customHeight="1">
      <c r="A116" s="94" t="e">
        <f>LEFT(#REF!,3)</f>
        <v>#REF!</v>
      </c>
      <c r="B116" s="88">
        <v>107</v>
      </c>
      <c r="C116" s="716" t="s">
        <v>577</v>
      </c>
      <c r="D116" s="706" t="str">
        <f>+'ERON 2021'!A108</f>
        <v>EPMSCYAR Yarumal</v>
      </c>
      <c r="E116" s="712">
        <v>191</v>
      </c>
      <c r="F116" s="708">
        <v>196</v>
      </c>
      <c r="G116" s="708">
        <v>0</v>
      </c>
      <c r="H116" s="708">
        <v>23</v>
      </c>
      <c r="I116" s="708">
        <v>0</v>
      </c>
      <c r="J116" s="709">
        <v>23</v>
      </c>
      <c r="K116" s="708">
        <v>173</v>
      </c>
      <c r="L116" s="708">
        <v>0</v>
      </c>
      <c r="M116" s="709">
        <v>173</v>
      </c>
      <c r="N116" s="710">
        <f t="shared" si="7"/>
        <v>196</v>
      </c>
      <c r="O116" s="96">
        <f t="shared" si="8"/>
        <v>5</v>
      </c>
      <c r="P116" s="97">
        <f t="shared" si="9"/>
        <v>2.6178010471204161E-2</v>
      </c>
      <c r="Q116" s="98"/>
    </row>
    <row r="117" spans="1:17" ht="15.75" customHeight="1">
      <c r="A117" s="94" t="e">
        <f>LEFT(#REF!,3)</f>
        <v>#REF!</v>
      </c>
      <c r="B117" s="87">
        <v>108</v>
      </c>
      <c r="C117" s="716" t="s">
        <v>577</v>
      </c>
      <c r="D117" s="706" t="str">
        <f>+'ERON 2021'!A109</f>
        <v>EPMSCQUI Quibdó</v>
      </c>
      <c r="E117" s="712">
        <v>286</v>
      </c>
      <c r="F117" s="708">
        <v>387</v>
      </c>
      <c r="G117" s="708">
        <v>16</v>
      </c>
      <c r="H117" s="708">
        <v>217</v>
      </c>
      <c r="I117" s="708">
        <v>10</v>
      </c>
      <c r="J117" s="709">
        <v>227</v>
      </c>
      <c r="K117" s="708">
        <v>170</v>
      </c>
      <c r="L117" s="708">
        <v>6</v>
      </c>
      <c r="M117" s="709">
        <v>176</v>
      </c>
      <c r="N117" s="710">
        <f t="shared" si="7"/>
        <v>403</v>
      </c>
      <c r="O117" s="96">
        <f t="shared" si="8"/>
        <v>117</v>
      </c>
      <c r="P117" s="97">
        <f t="shared" si="9"/>
        <v>0.40909090909090917</v>
      </c>
      <c r="Q117" s="98"/>
    </row>
    <row r="118" spans="1:17" ht="15.75" customHeight="1">
      <c r="A118" s="94" t="e">
        <f>LEFT(#REF!,3)</f>
        <v>#REF!</v>
      </c>
      <c r="B118" s="87">
        <v>109</v>
      </c>
      <c r="C118" s="716" t="s">
        <v>577</v>
      </c>
      <c r="D118" s="706" t="str">
        <f>+'ERON 2021'!A110</f>
        <v>CPMSAPD Apartadó</v>
      </c>
      <c r="E118" s="707">
        <v>296</v>
      </c>
      <c r="F118" s="708">
        <v>693</v>
      </c>
      <c r="G118" s="708">
        <v>0</v>
      </c>
      <c r="H118" s="708">
        <v>132</v>
      </c>
      <c r="I118" s="708">
        <v>0</v>
      </c>
      <c r="J118" s="709">
        <v>132</v>
      </c>
      <c r="K118" s="708">
        <v>561</v>
      </c>
      <c r="L118" s="708">
        <v>0</v>
      </c>
      <c r="M118" s="709">
        <v>561</v>
      </c>
      <c r="N118" s="710">
        <f t="shared" si="7"/>
        <v>693</v>
      </c>
      <c r="O118" s="96">
        <f t="shared" si="8"/>
        <v>397</v>
      </c>
      <c r="P118" s="97">
        <f t="shared" si="9"/>
        <v>1.3412162162162162</v>
      </c>
      <c r="Q118" s="98"/>
    </row>
    <row r="119" spans="1:17" ht="15.75" customHeight="1">
      <c r="A119" s="94" t="e">
        <f>LEFT(#REF!,3)</f>
        <v>#REF!</v>
      </c>
      <c r="B119" s="1101">
        <v>110</v>
      </c>
      <c r="C119" s="716" t="s">
        <v>577</v>
      </c>
      <c r="D119" s="706" t="str">
        <f>+'ERON 2021'!A111</f>
        <v>EPMSCIST Istmina</v>
      </c>
      <c r="E119" s="712">
        <v>81</v>
      </c>
      <c r="F119" s="708">
        <v>80</v>
      </c>
      <c r="G119" s="708">
        <v>0</v>
      </c>
      <c r="H119" s="708">
        <v>29</v>
      </c>
      <c r="I119" s="708">
        <v>0</v>
      </c>
      <c r="J119" s="709">
        <v>29</v>
      </c>
      <c r="K119" s="708">
        <v>51</v>
      </c>
      <c r="L119" s="708">
        <v>0</v>
      </c>
      <c r="M119" s="709">
        <v>51</v>
      </c>
      <c r="N119" s="710">
        <f t="shared" si="7"/>
        <v>80</v>
      </c>
      <c r="O119" s="96">
        <f t="shared" si="8"/>
        <v>-1</v>
      </c>
      <c r="P119" s="97">
        <f t="shared" si="9"/>
        <v>-1.2345679012345734E-2</v>
      </c>
      <c r="Q119" s="98"/>
    </row>
    <row r="120" spans="1:17" ht="15.75" customHeight="1">
      <c r="A120" s="94" t="e">
        <f>LEFT(#REF!,3)</f>
        <v>#REF!</v>
      </c>
      <c r="B120" s="1101">
        <v>111</v>
      </c>
      <c r="C120" s="716" t="s">
        <v>577</v>
      </c>
      <c r="D120" s="706" t="str">
        <f>+'ERON 2021'!A112</f>
        <v>CPMSPTR Puerto Triunfo</v>
      </c>
      <c r="E120" s="712">
        <v>1316</v>
      </c>
      <c r="F120" s="708">
        <v>1500</v>
      </c>
      <c r="G120" s="708">
        <v>0</v>
      </c>
      <c r="H120" s="708">
        <v>153</v>
      </c>
      <c r="I120" s="708">
        <v>0</v>
      </c>
      <c r="J120" s="709">
        <v>153</v>
      </c>
      <c r="K120" s="708">
        <v>1347</v>
      </c>
      <c r="L120" s="708">
        <v>0</v>
      </c>
      <c r="M120" s="709">
        <v>1347</v>
      </c>
      <c r="N120" s="710">
        <f t="shared" si="7"/>
        <v>1500</v>
      </c>
      <c r="O120" s="96">
        <f t="shared" si="8"/>
        <v>184</v>
      </c>
      <c r="P120" s="97">
        <f t="shared" si="9"/>
        <v>0.13981762917933138</v>
      </c>
      <c r="Q120" s="98"/>
    </row>
    <row r="121" spans="1:17" ht="15.75" customHeight="1">
      <c r="A121" s="94" t="e">
        <f>LEFT(#REF!,3)</f>
        <v>#REF!</v>
      </c>
      <c r="B121" s="87">
        <v>112</v>
      </c>
      <c r="C121" s="716" t="s">
        <v>577</v>
      </c>
      <c r="D121" s="706" t="str">
        <f>+'ERON 2021'!A113</f>
        <v>COPED Medellín Pedregal</v>
      </c>
      <c r="E121" s="707">
        <v>3165</v>
      </c>
      <c r="F121" s="708">
        <v>2282</v>
      </c>
      <c r="G121" s="708">
        <v>1099</v>
      </c>
      <c r="H121" s="708">
        <v>636</v>
      </c>
      <c r="I121" s="708">
        <v>407</v>
      </c>
      <c r="J121" s="709">
        <v>1043</v>
      </c>
      <c r="K121" s="708">
        <v>1646</v>
      </c>
      <c r="L121" s="708">
        <v>692</v>
      </c>
      <c r="M121" s="709">
        <v>2338</v>
      </c>
      <c r="N121" s="710">
        <f t="shared" si="7"/>
        <v>3381</v>
      </c>
      <c r="O121" s="96">
        <f t="shared" si="8"/>
        <v>216</v>
      </c>
      <c r="P121" s="97">
        <f t="shared" si="9"/>
        <v>6.824644549763037E-2</v>
      </c>
      <c r="Q121" s="98"/>
    </row>
    <row r="122" spans="1:17" ht="15.75" customHeight="1">
      <c r="A122" s="94" t="e">
        <f>LEFT(#REF!,3)</f>
        <v>#REF!</v>
      </c>
      <c r="B122" s="87">
        <v>113</v>
      </c>
      <c r="C122" s="717" t="s">
        <v>578</v>
      </c>
      <c r="D122" s="706" t="str">
        <f>+'ERON 2021'!A114</f>
        <v>EPMSCMAN Manizales</v>
      </c>
      <c r="E122" s="712">
        <v>627</v>
      </c>
      <c r="F122" s="708">
        <v>996</v>
      </c>
      <c r="G122" s="708">
        <v>0</v>
      </c>
      <c r="H122" s="708">
        <v>210</v>
      </c>
      <c r="I122" s="708">
        <v>0</v>
      </c>
      <c r="J122" s="709">
        <v>210</v>
      </c>
      <c r="K122" s="708">
        <v>786</v>
      </c>
      <c r="L122" s="708">
        <v>0</v>
      </c>
      <c r="M122" s="709">
        <v>786</v>
      </c>
      <c r="N122" s="710">
        <f t="shared" si="7"/>
        <v>996</v>
      </c>
      <c r="O122" s="96">
        <f t="shared" si="8"/>
        <v>369</v>
      </c>
      <c r="P122" s="97">
        <f t="shared" si="9"/>
        <v>0.58851674641148333</v>
      </c>
      <c r="Q122" s="98"/>
    </row>
    <row r="123" spans="1:17" ht="15.75" customHeight="1">
      <c r="A123" s="94" t="e">
        <f>LEFT(#REF!,3)</f>
        <v>#REF!</v>
      </c>
      <c r="B123" s="88">
        <v>114</v>
      </c>
      <c r="C123" s="717" t="s">
        <v>578</v>
      </c>
      <c r="D123" s="706" t="str">
        <f>+'ERON 2021'!A115</f>
        <v>EPMSCANS Anserma</v>
      </c>
      <c r="E123" s="712">
        <v>128</v>
      </c>
      <c r="F123" s="708">
        <v>224</v>
      </c>
      <c r="G123" s="708">
        <v>0</v>
      </c>
      <c r="H123" s="708">
        <v>62</v>
      </c>
      <c r="I123" s="708">
        <v>0</v>
      </c>
      <c r="J123" s="709">
        <v>62</v>
      </c>
      <c r="K123" s="708">
        <v>162</v>
      </c>
      <c r="L123" s="708">
        <v>0</v>
      </c>
      <c r="M123" s="709">
        <v>162</v>
      </c>
      <c r="N123" s="710">
        <f t="shared" si="7"/>
        <v>224</v>
      </c>
      <c r="O123" s="96">
        <f t="shared" si="8"/>
        <v>96</v>
      </c>
      <c r="P123" s="97">
        <f t="shared" si="9"/>
        <v>0.75</v>
      </c>
      <c r="Q123" s="98"/>
    </row>
    <row r="124" spans="1:17" ht="15.75" customHeight="1">
      <c r="A124" s="94" t="e">
        <f>LEFT(#REF!,3)</f>
        <v>#REF!</v>
      </c>
      <c r="B124" s="88">
        <v>115</v>
      </c>
      <c r="C124" s="717" t="s">
        <v>578</v>
      </c>
      <c r="D124" s="706" t="str">
        <f>+'ERON 2021'!A116</f>
        <v>EPMSCAGD Aguadas</v>
      </c>
      <c r="E124" s="707">
        <v>0</v>
      </c>
      <c r="F124" s="708">
        <v>0</v>
      </c>
      <c r="G124" s="708">
        <v>0</v>
      </c>
      <c r="H124" s="708">
        <v>0</v>
      </c>
      <c r="I124" s="708">
        <v>0</v>
      </c>
      <c r="J124" s="709">
        <v>0</v>
      </c>
      <c r="K124" s="708">
        <v>0</v>
      </c>
      <c r="L124" s="708">
        <v>0</v>
      </c>
      <c r="M124" s="709">
        <v>0</v>
      </c>
      <c r="N124" s="710">
        <f t="shared" si="7"/>
        <v>0</v>
      </c>
      <c r="O124" s="96">
        <f t="shared" si="8"/>
        <v>0</v>
      </c>
      <c r="P124" s="97">
        <f t="shared" si="9"/>
        <v>0</v>
      </c>
      <c r="Q124" s="98"/>
    </row>
    <row r="125" spans="1:17" ht="15.75" customHeight="1">
      <c r="A125" s="94" t="e">
        <f>LEFT(#REF!,3)</f>
        <v>#REF!</v>
      </c>
      <c r="B125" s="87">
        <v>116</v>
      </c>
      <c r="C125" s="717" t="s">
        <v>578</v>
      </c>
      <c r="D125" s="706" t="str">
        <f>+'ERON 2021'!A117</f>
        <v>EPMSCPAR Pácora</v>
      </c>
      <c r="E125" s="712">
        <v>58</v>
      </c>
      <c r="F125" s="708">
        <v>67</v>
      </c>
      <c r="G125" s="708">
        <v>0</v>
      </c>
      <c r="H125" s="708">
        <v>21</v>
      </c>
      <c r="I125" s="708">
        <v>0</v>
      </c>
      <c r="J125" s="709">
        <v>21</v>
      </c>
      <c r="K125" s="708">
        <v>46</v>
      </c>
      <c r="L125" s="708">
        <v>0</v>
      </c>
      <c r="M125" s="709">
        <v>46</v>
      </c>
      <c r="N125" s="710">
        <f t="shared" si="7"/>
        <v>67</v>
      </c>
      <c r="O125" s="96">
        <f t="shared" si="8"/>
        <v>9</v>
      </c>
      <c r="P125" s="97">
        <f t="shared" si="9"/>
        <v>0.15517241379310343</v>
      </c>
      <c r="Q125" s="98"/>
    </row>
    <row r="126" spans="1:17" ht="15.75" customHeight="1">
      <c r="A126" s="94" t="e">
        <f>LEFT(#REF!,3)</f>
        <v>#REF!</v>
      </c>
      <c r="B126" s="87">
        <v>117</v>
      </c>
      <c r="C126" s="717" t="s">
        <v>578</v>
      </c>
      <c r="D126" s="706" t="str">
        <f>+'ERON 2021'!A118</f>
        <v>EPMSCPEN Pensilvania</v>
      </c>
      <c r="E126" s="712">
        <v>56</v>
      </c>
      <c r="F126" s="708">
        <v>93</v>
      </c>
      <c r="G126" s="708">
        <v>0</v>
      </c>
      <c r="H126" s="708">
        <v>47</v>
      </c>
      <c r="I126" s="708">
        <v>0</v>
      </c>
      <c r="J126" s="709">
        <v>47</v>
      </c>
      <c r="K126" s="708">
        <v>46</v>
      </c>
      <c r="L126" s="708">
        <v>0</v>
      </c>
      <c r="M126" s="709">
        <v>46</v>
      </c>
      <c r="N126" s="710">
        <f t="shared" si="7"/>
        <v>93</v>
      </c>
      <c r="O126" s="96">
        <f t="shared" si="8"/>
        <v>37</v>
      </c>
      <c r="P126" s="97">
        <f t="shared" si="9"/>
        <v>0.66071428571428581</v>
      </c>
      <c r="Q126" s="98"/>
    </row>
    <row r="127" spans="1:17" ht="15.75" customHeight="1">
      <c r="A127" s="94" t="e">
        <f>LEFT(#REF!,3)</f>
        <v>#REF!</v>
      </c>
      <c r="B127" s="88">
        <v>118</v>
      </c>
      <c r="C127" s="717" t="s">
        <v>578</v>
      </c>
      <c r="D127" s="706" t="str">
        <f>+'ERON 2021'!A119</f>
        <v>EPMSCRIS Riosucio</v>
      </c>
      <c r="E127" s="707">
        <v>54</v>
      </c>
      <c r="F127" s="708">
        <v>96</v>
      </c>
      <c r="G127" s="708">
        <v>0</v>
      </c>
      <c r="H127" s="708">
        <v>35</v>
      </c>
      <c r="I127" s="708">
        <v>0</v>
      </c>
      <c r="J127" s="709">
        <v>35</v>
      </c>
      <c r="K127" s="708">
        <v>61</v>
      </c>
      <c r="L127" s="708">
        <v>0</v>
      </c>
      <c r="M127" s="709">
        <v>61</v>
      </c>
      <c r="N127" s="710">
        <f t="shared" si="7"/>
        <v>96</v>
      </c>
      <c r="O127" s="96">
        <f t="shared" si="8"/>
        <v>42</v>
      </c>
      <c r="P127" s="97">
        <f t="shared" si="9"/>
        <v>0.77777777777777768</v>
      </c>
      <c r="Q127" s="98"/>
    </row>
    <row r="128" spans="1:17" ht="15.75" customHeight="1">
      <c r="A128" s="94" t="e">
        <f>LEFT(#REF!,3)</f>
        <v>#REF!</v>
      </c>
      <c r="B128" s="88">
        <v>119</v>
      </c>
      <c r="C128" s="717" t="s">
        <v>578</v>
      </c>
      <c r="D128" s="706" t="str">
        <f>+'ERON 2021'!A120</f>
        <v>EPMSCSAL Salamina</v>
      </c>
      <c r="E128" s="712">
        <v>166</v>
      </c>
      <c r="F128" s="708">
        <v>199</v>
      </c>
      <c r="G128" s="708">
        <v>0</v>
      </c>
      <c r="H128" s="708">
        <v>54</v>
      </c>
      <c r="I128" s="708">
        <v>0</v>
      </c>
      <c r="J128" s="709">
        <v>54</v>
      </c>
      <c r="K128" s="708">
        <v>145</v>
      </c>
      <c r="L128" s="708">
        <v>0</v>
      </c>
      <c r="M128" s="709">
        <v>145</v>
      </c>
      <c r="N128" s="710">
        <f t="shared" si="7"/>
        <v>199</v>
      </c>
      <c r="O128" s="96">
        <f t="shared" si="8"/>
        <v>33</v>
      </c>
      <c r="P128" s="97">
        <f t="shared" si="9"/>
        <v>0.1987951807228916</v>
      </c>
      <c r="Q128" s="98"/>
    </row>
    <row r="129" spans="1:17" ht="15.75" customHeight="1">
      <c r="A129" s="94" t="e">
        <f>LEFT(#REF!,3)</f>
        <v>#REF!</v>
      </c>
      <c r="B129" s="87">
        <v>120</v>
      </c>
      <c r="C129" s="717" t="s">
        <v>578</v>
      </c>
      <c r="D129" s="706" t="str">
        <f>+'ERON 2021'!A121</f>
        <v>RMMAN Manizales</v>
      </c>
      <c r="E129" s="712">
        <v>128</v>
      </c>
      <c r="F129" s="708">
        <v>0</v>
      </c>
      <c r="G129" s="708">
        <v>166</v>
      </c>
      <c r="H129" s="708">
        <v>0</v>
      </c>
      <c r="I129" s="708">
        <v>68</v>
      </c>
      <c r="J129" s="709">
        <v>68</v>
      </c>
      <c r="K129" s="708">
        <v>0</v>
      </c>
      <c r="L129" s="708">
        <v>98</v>
      </c>
      <c r="M129" s="709">
        <v>98</v>
      </c>
      <c r="N129" s="710">
        <f t="shared" si="7"/>
        <v>166</v>
      </c>
      <c r="O129" s="96">
        <f t="shared" si="8"/>
        <v>38</v>
      </c>
      <c r="P129" s="97">
        <f t="shared" si="9"/>
        <v>0.296875</v>
      </c>
      <c r="Q129" s="98"/>
    </row>
    <row r="130" spans="1:17" ht="15.75" customHeight="1">
      <c r="A130" s="94" t="e">
        <f>LEFT(#REF!,3)</f>
        <v>#REF!</v>
      </c>
      <c r="B130" s="87">
        <v>121</v>
      </c>
      <c r="C130" s="717" t="s">
        <v>578</v>
      </c>
      <c r="D130" s="706" t="str">
        <f>+'ERON 2021'!A122</f>
        <v>EPMSCCAL Calarcá</v>
      </c>
      <c r="E130" s="707">
        <v>950</v>
      </c>
      <c r="F130" s="708">
        <v>906</v>
      </c>
      <c r="G130" s="708">
        <v>0</v>
      </c>
      <c r="H130" s="708">
        <v>23</v>
      </c>
      <c r="I130" s="708">
        <v>0</v>
      </c>
      <c r="J130" s="709">
        <v>23</v>
      </c>
      <c r="K130" s="708">
        <v>883</v>
      </c>
      <c r="L130" s="708">
        <v>0</v>
      </c>
      <c r="M130" s="709">
        <v>883</v>
      </c>
      <c r="N130" s="710">
        <f t="shared" si="7"/>
        <v>906</v>
      </c>
      <c r="O130" s="96">
        <f t="shared" si="8"/>
        <v>-44</v>
      </c>
      <c r="P130" s="97">
        <f t="shared" si="9"/>
        <v>-4.6315789473684199E-2</v>
      </c>
      <c r="Q130" s="98"/>
    </row>
    <row r="131" spans="1:17" ht="15.75" customHeight="1">
      <c r="A131" s="94" t="e">
        <f>LEFT(#REF!,3)</f>
        <v>#REF!</v>
      </c>
      <c r="B131" s="88">
        <v>122</v>
      </c>
      <c r="C131" s="717" t="s">
        <v>578</v>
      </c>
      <c r="D131" s="706" t="str">
        <f>+'ERON 2021'!A123</f>
        <v>EPMSCARM Armenia</v>
      </c>
      <c r="E131" s="712">
        <v>350</v>
      </c>
      <c r="F131" s="708">
        <v>449</v>
      </c>
      <c r="G131" s="708">
        <v>0</v>
      </c>
      <c r="H131" s="708">
        <v>76</v>
      </c>
      <c r="I131" s="708">
        <v>0</v>
      </c>
      <c r="J131" s="709">
        <v>76</v>
      </c>
      <c r="K131" s="708">
        <v>373</v>
      </c>
      <c r="L131" s="708">
        <v>0</v>
      </c>
      <c r="M131" s="709">
        <v>373</v>
      </c>
      <c r="N131" s="710">
        <f t="shared" si="7"/>
        <v>449</v>
      </c>
      <c r="O131" s="96">
        <f t="shared" si="8"/>
        <v>99</v>
      </c>
      <c r="P131" s="97">
        <f t="shared" si="9"/>
        <v>0.28285714285714292</v>
      </c>
      <c r="Q131" s="98"/>
    </row>
    <row r="132" spans="1:17" ht="15.75" customHeight="1">
      <c r="A132" s="94" t="e">
        <f>LEFT(#REF!,3)</f>
        <v>#REF!</v>
      </c>
      <c r="B132" s="88">
        <v>123</v>
      </c>
      <c r="C132" s="717" t="s">
        <v>578</v>
      </c>
      <c r="D132" s="706" t="str">
        <f>+'ERON 2021'!A124</f>
        <v>RMARM Armenia</v>
      </c>
      <c r="E132" s="712">
        <v>156</v>
      </c>
      <c r="F132" s="708">
        <v>0</v>
      </c>
      <c r="G132" s="708">
        <v>184</v>
      </c>
      <c r="H132" s="708">
        <v>0</v>
      </c>
      <c r="I132" s="708">
        <v>40</v>
      </c>
      <c r="J132" s="709">
        <v>40</v>
      </c>
      <c r="K132" s="708">
        <v>0</v>
      </c>
      <c r="L132" s="708">
        <v>144</v>
      </c>
      <c r="M132" s="709">
        <v>144</v>
      </c>
      <c r="N132" s="710">
        <f t="shared" si="7"/>
        <v>184</v>
      </c>
      <c r="O132" s="96">
        <f t="shared" si="8"/>
        <v>28</v>
      </c>
      <c r="P132" s="97">
        <f t="shared" si="9"/>
        <v>0.17948717948717952</v>
      </c>
      <c r="Q132" s="98"/>
    </row>
    <row r="133" spans="1:17" ht="15.75" customHeight="1">
      <c r="A133" s="94" t="e">
        <f>LEFT(#REF!,3)</f>
        <v>#REF!</v>
      </c>
      <c r="B133" s="87">
        <v>124</v>
      </c>
      <c r="C133" s="717" t="s">
        <v>578</v>
      </c>
      <c r="D133" s="706" t="str">
        <f>+'ERON 2021'!A125</f>
        <v>EPMSCPEI-ERE Pereira</v>
      </c>
      <c r="E133" s="707">
        <v>649</v>
      </c>
      <c r="F133" s="708">
        <v>818</v>
      </c>
      <c r="G133" s="708">
        <v>0</v>
      </c>
      <c r="H133" s="708">
        <v>239</v>
      </c>
      <c r="I133" s="708">
        <v>0</v>
      </c>
      <c r="J133" s="709">
        <v>239</v>
      </c>
      <c r="K133" s="708">
        <v>579</v>
      </c>
      <c r="L133" s="708">
        <v>0</v>
      </c>
      <c r="M133" s="709">
        <v>579</v>
      </c>
      <c r="N133" s="710">
        <f t="shared" si="7"/>
        <v>818</v>
      </c>
      <c r="O133" s="96">
        <f t="shared" si="8"/>
        <v>169</v>
      </c>
      <c r="P133" s="97">
        <f t="shared" si="9"/>
        <v>0.26040061633281963</v>
      </c>
      <c r="Q133" s="98"/>
    </row>
    <row r="134" spans="1:17" ht="15.75" customHeight="1">
      <c r="A134" s="94" t="e">
        <f>LEFT(#REF!,3)</f>
        <v>#REF!</v>
      </c>
      <c r="B134" s="87">
        <v>125</v>
      </c>
      <c r="C134" s="717" t="s">
        <v>578</v>
      </c>
      <c r="D134" s="706" t="str">
        <f>+'ERON 2021'!A126</f>
        <v>EPMSCSRC Santa Rosa de Cabal</v>
      </c>
      <c r="E134" s="712">
        <v>178</v>
      </c>
      <c r="F134" s="708">
        <v>232</v>
      </c>
      <c r="G134" s="708">
        <v>0</v>
      </c>
      <c r="H134" s="708">
        <v>70</v>
      </c>
      <c r="I134" s="708">
        <v>0</v>
      </c>
      <c r="J134" s="709">
        <v>70</v>
      </c>
      <c r="K134" s="708">
        <v>162</v>
      </c>
      <c r="L134" s="708">
        <v>0</v>
      </c>
      <c r="M134" s="709">
        <v>162</v>
      </c>
      <c r="N134" s="710">
        <f t="shared" si="7"/>
        <v>232</v>
      </c>
      <c r="O134" s="96">
        <f t="shared" si="8"/>
        <v>54</v>
      </c>
      <c r="P134" s="97">
        <f t="shared" si="9"/>
        <v>0.30337078651685401</v>
      </c>
      <c r="Q134" s="98"/>
    </row>
    <row r="135" spans="1:17" ht="15.75" customHeight="1">
      <c r="A135" s="94" t="e">
        <f>LEFT(#REF!,3)</f>
        <v>#REF!</v>
      </c>
      <c r="B135" s="88">
        <v>126</v>
      </c>
      <c r="C135" s="717" t="s">
        <v>578</v>
      </c>
      <c r="D135" s="706" t="str">
        <f>+'ERON 2021'!A127</f>
        <v>RMPEI Pereira</v>
      </c>
      <c r="E135" s="712">
        <v>305</v>
      </c>
      <c r="F135" s="708">
        <v>0</v>
      </c>
      <c r="G135" s="708">
        <v>287</v>
      </c>
      <c r="H135" s="708">
        <v>0</v>
      </c>
      <c r="I135" s="708">
        <v>79</v>
      </c>
      <c r="J135" s="709">
        <v>79</v>
      </c>
      <c r="K135" s="708">
        <v>0</v>
      </c>
      <c r="L135" s="708">
        <v>208</v>
      </c>
      <c r="M135" s="709">
        <v>208</v>
      </c>
      <c r="N135" s="710">
        <f t="shared" si="7"/>
        <v>287</v>
      </c>
      <c r="O135" s="96">
        <f t="shared" si="8"/>
        <v>-18</v>
      </c>
      <c r="P135" s="97">
        <f t="shared" si="9"/>
        <v>-5.9016393442622994E-2</v>
      </c>
      <c r="Q135" s="98"/>
    </row>
    <row r="136" spans="1:17" ht="15.75" customHeight="1">
      <c r="A136" s="94" t="e">
        <f>LEFT(#REF!,3)</f>
        <v>#REF!</v>
      </c>
      <c r="B136" s="88">
        <v>127</v>
      </c>
      <c r="C136" s="717" t="s">
        <v>578</v>
      </c>
      <c r="D136" s="706" t="str">
        <f>+'ERON 2021'!A128</f>
        <v>EPMSCARG Armero Guayabal</v>
      </c>
      <c r="E136" s="707">
        <v>40</v>
      </c>
      <c r="F136" s="708">
        <v>0</v>
      </c>
      <c r="G136" s="708">
        <v>0</v>
      </c>
      <c r="H136" s="708">
        <v>0</v>
      </c>
      <c r="I136" s="708">
        <v>0</v>
      </c>
      <c r="J136" s="709">
        <v>0</v>
      </c>
      <c r="K136" s="708">
        <v>0</v>
      </c>
      <c r="L136" s="708">
        <v>0</v>
      </c>
      <c r="M136" s="709">
        <v>0</v>
      </c>
      <c r="N136" s="710">
        <f t="shared" si="7"/>
        <v>0</v>
      </c>
      <c r="O136" s="96">
        <f t="shared" si="8"/>
        <v>-40</v>
      </c>
      <c r="P136" s="97">
        <f t="shared" si="9"/>
        <v>-1</v>
      </c>
      <c r="Q136" s="98"/>
    </row>
    <row r="137" spans="1:17" ht="15.75" customHeight="1">
      <c r="A137" s="94" t="e">
        <f>LEFT(#REF!,3)</f>
        <v>#REF!</v>
      </c>
      <c r="B137" s="87">
        <v>128</v>
      </c>
      <c r="C137" s="717" t="s">
        <v>578</v>
      </c>
      <c r="D137" s="706" t="str">
        <f>+'ERON 2021'!A129</f>
        <v>EPMSCFRN Fresno</v>
      </c>
      <c r="E137" s="712">
        <v>88</v>
      </c>
      <c r="F137" s="708">
        <v>120</v>
      </c>
      <c r="G137" s="708">
        <v>0</v>
      </c>
      <c r="H137" s="708">
        <v>23</v>
      </c>
      <c r="I137" s="708">
        <v>0</v>
      </c>
      <c r="J137" s="709">
        <v>23</v>
      </c>
      <c r="K137" s="708">
        <v>97</v>
      </c>
      <c r="L137" s="708">
        <v>0</v>
      </c>
      <c r="M137" s="709">
        <v>97</v>
      </c>
      <c r="N137" s="710">
        <f t="shared" si="7"/>
        <v>120</v>
      </c>
      <c r="O137" s="96">
        <f t="shared" si="8"/>
        <v>32</v>
      </c>
      <c r="P137" s="97">
        <f t="shared" si="9"/>
        <v>0.36363636363636354</v>
      </c>
      <c r="Q137" s="98"/>
    </row>
    <row r="138" spans="1:17" ht="15.75" customHeight="1">
      <c r="A138" s="94" t="e">
        <f>LEFT(#REF!,3)</f>
        <v>#REF!</v>
      </c>
      <c r="B138" s="87">
        <v>129</v>
      </c>
      <c r="C138" s="717" t="s">
        <v>578</v>
      </c>
      <c r="D138" s="706" t="str">
        <f>+'ERON 2021'!A130</f>
        <v>EPMSCHON Honda</v>
      </c>
      <c r="E138" s="712">
        <v>208</v>
      </c>
      <c r="F138" s="708">
        <v>313</v>
      </c>
      <c r="G138" s="708">
        <v>0</v>
      </c>
      <c r="H138" s="708">
        <v>128</v>
      </c>
      <c r="I138" s="708">
        <v>0</v>
      </c>
      <c r="J138" s="709">
        <v>128</v>
      </c>
      <c r="K138" s="708">
        <v>185</v>
      </c>
      <c r="L138" s="708">
        <v>0</v>
      </c>
      <c r="M138" s="709">
        <v>185</v>
      </c>
      <c r="N138" s="710">
        <f t="shared" si="7"/>
        <v>313</v>
      </c>
      <c r="O138" s="96">
        <f>N138-E138</f>
        <v>105</v>
      </c>
      <c r="P138" s="97">
        <f t="shared" si="9"/>
        <v>0.50480769230769229</v>
      </c>
      <c r="Q138" s="98"/>
    </row>
    <row r="139" spans="1:17" ht="15.75" customHeight="1">
      <c r="A139" s="94" t="e">
        <f>LEFT(#REF!,3)</f>
        <v>#REF!</v>
      </c>
      <c r="B139" s="88">
        <v>130</v>
      </c>
      <c r="C139" s="717" t="s">
        <v>578</v>
      </c>
      <c r="D139" s="706" t="str">
        <f>+'ERON 2021'!A131</f>
        <v>EPMSCLIB Líbano</v>
      </c>
      <c r="E139" s="707">
        <v>99</v>
      </c>
      <c r="F139" s="708">
        <v>90</v>
      </c>
      <c r="G139" s="708">
        <v>0</v>
      </c>
      <c r="H139" s="708">
        <v>27</v>
      </c>
      <c r="I139" s="708">
        <v>0</v>
      </c>
      <c r="J139" s="709">
        <v>27</v>
      </c>
      <c r="K139" s="708">
        <v>63</v>
      </c>
      <c r="L139" s="708">
        <v>0</v>
      </c>
      <c r="M139" s="709">
        <v>63</v>
      </c>
      <c r="N139" s="710">
        <f>+F139+G139</f>
        <v>90</v>
      </c>
      <c r="O139" s="96">
        <f>N139-E139</f>
        <v>-9</v>
      </c>
      <c r="P139" s="97">
        <f t="shared" si="9"/>
        <v>-9.0909090909090939E-2</v>
      </c>
      <c r="Q139" s="98"/>
    </row>
    <row r="140" spans="1:17" ht="15.75" customHeight="1">
      <c r="A140" s="94" t="e">
        <f>LEFT(#REF!,3)</f>
        <v>#REF!</v>
      </c>
      <c r="B140" s="1098">
        <v>131</v>
      </c>
      <c r="C140" s="717" t="s">
        <v>578</v>
      </c>
      <c r="D140" s="706" t="str">
        <f>+'ERON 2021'!A132</f>
        <v>EPMSCPBO Puerto Boyacá</v>
      </c>
      <c r="E140" s="712">
        <v>120</v>
      </c>
      <c r="F140" s="708">
        <v>190</v>
      </c>
      <c r="G140" s="708">
        <v>0</v>
      </c>
      <c r="H140" s="708">
        <v>65</v>
      </c>
      <c r="I140" s="708">
        <v>0</v>
      </c>
      <c r="J140" s="709">
        <v>65</v>
      </c>
      <c r="K140" s="708">
        <v>125</v>
      </c>
      <c r="L140" s="708">
        <v>0</v>
      </c>
      <c r="M140" s="709">
        <v>125</v>
      </c>
      <c r="N140" s="710">
        <f>+F140+G140</f>
        <v>190</v>
      </c>
      <c r="O140" s="96">
        <f>N140-E140</f>
        <v>70</v>
      </c>
      <c r="P140" s="97">
        <f t="shared" si="9"/>
        <v>0.58333333333333326</v>
      </c>
      <c r="Q140" s="98"/>
    </row>
    <row r="141" spans="1:17" ht="15.75" customHeight="1">
      <c r="A141" s="94" t="e">
        <f>LEFT(#REF!,3)</f>
        <v>#REF!</v>
      </c>
      <c r="B141" s="1102">
        <v>132</v>
      </c>
      <c r="C141" s="717" t="s">
        <v>578</v>
      </c>
      <c r="D141" s="706" t="str">
        <f>+'ERON 2021'!A133</f>
        <v>CPAMSLDO-ERE La Dorada</v>
      </c>
      <c r="E141" s="712">
        <v>1524</v>
      </c>
      <c r="F141" s="708">
        <v>1525</v>
      </c>
      <c r="G141" s="708">
        <v>0</v>
      </c>
      <c r="H141" s="708">
        <v>146</v>
      </c>
      <c r="I141" s="708">
        <v>0</v>
      </c>
      <c r="J141" s="709">
        <v>146</v>
      </c>
      <c r="K141" s="708">
        <v>1379</v>
      </c>
      <c r="L141" s="708">
        <v>0</v>
      </c>
      <c r="M141" s="709">
        <v>1379</v>
      </c>
      <c r="N141" s="710">
        <f>+F141+G141</f>
        <v>1525</v>
      </c>
      <c r="O141" s="96">
        <f>N141-E141</f>
        <v>1</v>
      </c>
      <c r="P141" s="97">
        <f t="shared" si="9"/>
        <v>6.5616797900269752E-4</v>
      </c>
      <c r="Q141" s="98"/>
    </row>
    <row r="142" spans="1:17" ht="15.75" customHeight="1">
      <c r="A142" s="94" t="e">
        <f>LEFT(#REF!,3)</f>
        <v>#REF!</v>
      </c>
      <c r="B142" s="87">
        <v>133</v>
      </c>
      <c r="C142" s="717" t="s">
        <v>749</v>
      </c>
      <c r="D142" s="706" t="str">
        <f>+'ERON 2021'!A134</f>
        <v>COIBA-ERE Ibagué</v>
      </c>
      <c r="E142" s="712">
        <v>4642</v>
      </c>
      <c r="F142" s="708">
        <v>4328</v>
      </c>
      <c r="G142" s="708">
        <v>395</v>
      </c>
      <c r="H142" s="708">
        <v>919</v>
      </c>
      <c r="I142" s="708">
        <v>140</v>
      </c>
      <c r="J142" s="709">
        <v>1059</v>
      </c>
      <c r="K142" s="708">
        <v>3409</v>
      </c>
      <c r="L142" s="708">
        <v>255</v>
      </c>
      <c r="M142" s="709">
        <v>3664</v>
      </c>
      <c r="N142" s="710">
        <f>+F142+G142</f>
        <v>4723</v>
      </c>
      <c r="O142" s="96">
        <f>N142-E142</f>
        <v>81</v>
      </c>
      <c r="P142" s="97">
        <f>IFERROR((N142/E142)-100%,0)</f>
        <v>1.7449375269280587E-2</v>
      </c>
      <c r="Q142" s="93">
        <f>SUM(Q10:Q141)</f>
        <v>0</v>
      </c>
    </row>
    <row r="143" spans="1:17" ht="15.75" customHeight="1">
      <c r="A143" s="94"/>
      <c r="B143" s="99"/>
      <c r="E143" s="98"/>
      <c r="F143" s="98"/>
      <c r="G143" s="98"/>
      <c r="H143" s="98"/>
      <c r="I143" s="98"/>
      <c r="J143" s="98"/>
      <c r="K143" s="98"/>
      <c r="L143" s="98"/>
      <c r="M143" s="98"/>
      <c r="N143" s="100"/>
      <c r="O143" s="98"/>
      <c r="P143" s="101"/>
      <c r="Q143" s="98"/>
    </row>
    <row r="144" spans="1:17" s="702" customFormat="1" ht="15.75" customHeight="1">
      <c r="A144" s="94"/>
      <c r="B144" s="99"/>
      <c r="E144" s="1074">
        <f t="shared" ref="E144:O144" si="10">SUM(E10:E143)</f>
        <v>80429</v>
      </c>
      <c r="F144" s="1074">
        <f t="shared" si="10"/>
        <v>90241</v>
      </c>
      <c r="G144" s="1074">
        <f t="shared" si="10"/>
        <v>6672</v>
      </c>
      <c r="H144" s="1074">
        <f t="shared" si="10"/>
        <v>23012</v>
      </c>
      <c r="I144" s="1074">
        <f t="shared" si="10"/>
        <v>2583</v>
      </c>
      <c r="J144" s="1074">
        <f t="shared" si="10"/>
        <v>25595</v>
      </c>
      <c r="K144" s="1074">
        <f t="shared" si="10"/>
        <v>67229</v>
      </c>
      <c r="L144" s="1074">
        <f t="shared" si="10"/>
        <v>4089</v>
      </c>
      <c r="M144" s="1074">
        <f t="shared" si="10"/>
        <v>71318</v>
      </c>
      <c r="N144" s="1074">
        <f t="shared" si="10"/>
        <v>96913</v>
      </c>
      <c r="O144" s="1074">
        <f t="shared" si="10"/>
        <v>16484</v>
      </c>
      <c r="P144" s="97">
        <f>IFERROR((N144/E144)-100%,0)</f>
        <v>0.20495095052779466</v>
      </c>
      <c r="Q144" s="98"/>
    </row>
    <row r="145" spans="1:17" s="702" customFormat="1" ht="15.75" customHeight="1">
      <c r="A145" s="94"/>
      <c r="B145" s="99"/>
      <c r="E145" s="98"/>
      <c r="F145" s="98"/>
      <c r="G145" s="98"/>
      <c r="H145" s="98"/>
      <c r="I145" s="98"/>
      <c r="J145" s="98"/>
      <c r="K145" s="98"/>
      <c r="L145" s="98"/>
      <c r="M145" s="98"/>
      <c r="N145" s="100"/>
      <c r="O145" s="98"/>
      <c r="P145" s="101"/>
      <c r="Q145" s="98"/>
    </row>
    <row r="146" spans="1:17" ht="15.75" customHeight="1">
      <c r="A146" s="94"/>
      <c r="B146" s="99"/>
      <c r="E146" s="98"/>
      <c r="F146" s="98"/>
      <c r="G146" s="98"/>
      <c r="H146" s="98"/>
      <c r="I146" s="98"/>
      <c r="J146" s="98"/>
      <c r="K146" s="98"/>
      <c r="L146" s="98"/>
      <c r="M146" s="98"/>
      <c r="N146" s="100"/>
      <c r="O146" s="98"/>
      <c r="P146" s="238"/>
      <c r="Q146" s="98"/>
    </row>
    <row r="147" spans="1:17" ht="15.75" customHeight="1">
      <c r="A147" s="94"/>
      <c r="B147" s="99"/>
      <c r="E147" s="98"/>
      <c r="F147" s="98"/>
      <c r="G147" s="98"/>
      <c r="H147" s="98"/>
      <c r="I147" s="98"/>
      <c r="J147" s="98"/>
      <c r="K147" s="98"/>
      <c r="L147" s="98"/>
      <c r="M147" s="98"/>
      <c r="N147" s="100"/>
      <c r="O147" s="98"/>
      <c r="P147" s="101"/>
      <c r="Q147" s="98"/>
    </row>
    <row r="148" spans="1:17" s="52" customFormat="1">
      <c r="D148" s="718" t="s">
        <v>580</v>
      </c>
      <c r="E148" s="721">
        <f t="shared" ref="E148:O148" si="11">SUM(E10:E50)</f>
        <v>30492</v>
      </c>
      <c r="F148" s="721">
        <f t="shared" si="11"/>
        <v>33310</v>
      </c>
      <c r="G148" s="721">
        <f t="shared" si="11"/>
        <v>2267</v>
      </c>
      <c r="H148" s="721">
        <f t="shared" si="11"/>
        <v>6975</v>
      </c>
      <c r="I148" s="721">
        <f t="shared" si="11"/>
        <v>899</v>
      </c>
      <c r="J148" s="721">
        <f t="shared" si="11"/>
        <v>7874</v>
      </c>
      <c r="K148" s="721">
        <f t="shared" si="11"/>
        <v>26335</v>
      </c>
      <c r="L148" s="721">
        <f t="shared" si="11"/>
        <v>1368</v>
      </c>
      <c r="M148" s="721">
        <f t="shared" si="11"/>
        <v>27703</v>
      </c>
      <c r="N148" s="721">
        <f t="shared" si="11"/>
        <v>35577</v>
      </c>
      <c r="O148" s="721">
        <f t="shared" si="11"/>
        <v>5085</v>
      </c>
      <c r="P148" s="97">
        <f>+N148*1/E148-1</f>
        <v>0.1667650531286895</v>
      </c>
    </row>
    <row r="149" spans="1:17" s="52" customFormat="1">
      <c r="D149" s="718" t="s">
        <v>581</v>
      </c>
      <c r="E149" s="721">
        <f t="shared" ref="E149:O149" si="12">SUM(E51:E71)</f>
        <v>11441</v>
      </c>
      <c r="F149" s="721">
        <f t="shared" si="12"/>
        <v>14753</v>
      </c>
      <c r="G149" s="721">
        <f t="shared" si="12"/>
        <v>267</v>
      </c>
      <c r="H149" s="721">
        <f t="shared" si="12"/>
        <v>5547</v>
      </c>
      <c r="I149" s="721">
        <f t="shared" si="12"/>
        <v>136</v>
      </c>
      <c r="J149" s="721">
        <f t="shared" si="12"/>
        <v>5683</v>
      </c>
      <c r="K149" s="721">
        <f t="shared" si="12"/>
        <v>9206</v>
      </c>
      <c r="L149" s="721">
        <f t="shared" si="12"/>
        <v>131</v>
      </c>
      <c r="M149" s="721">
        <f t="shared" si="12"/>
        <v>9337</v>
      </c>
      <c r="N149" s="721">
        <f t="shared" si="12"/>
        <v>15020</v>
      </c>
      <c r="O149" s="721">
        <f t="shared" si="12"/>
        <v>3579</v>
      </c>
      <c r="P149" s="97">
        <f t="shared" ref="P149:P154" si="13">+N149*1/E149-1</f>
        <v>0.31282230574250502</v>
      </c>
    </row>
    <row r="150" spans="1:17" s="52" customFormat="1">
      <c r="D150" s="718" t="s">
        <v>582</v>
      </c>
      <c r="E150" s="721">
        <f t="shared" ref="E150:O150" si="14">SUM(E72:E86)</f>
        <v>9489</v>
      </c>
      <c r="F150" s="721">
        <f t="shared" si="14"/>
        <v>10043</v>
      </c>
      <c r="G150" s="721">
        <f t="shared" si="14"/>
        <v>1332</v>
      </c>
      <c r="H150" s="721">
        <f t="shared" si="14"/>
        <v>3619</v>
      </c>
      <c r="I150" s="721">
        <f t="shared" si="14"/>
        <v>508</v>
      </c>
      <c r="J150" s="721">
        <f t="shared" si="14"/>
        <v>4127</v>
      </c>
      <c r="K150" s="721">
        <f t="shared" si="14"/>
        <v>6424</v>
      </c>
      <c r="L150" s="721">
        <f t="shared" si="14"/>
        <v>824</v>
      </c>
      <c r="M150" s="721">
        <f t="shared" si="14"/>
        <v>7248</v>
      </c>
      <c r="N150" s="721">
        <f t="shared" si="14"/>
        <v>11375</v>
      </c>
      <c r="O150" s="721">
        <f t="shared" si="14"/>
        <v>1886</v>
      </c>
      <c r="P150" s="97">
        <f t="shared" si="13"/>
        <v>0.19875645484244919</v>
      </c>
    </row>
    <row r="151" spans="1:17" s="52" customFormat="1">
      <c r="D151" s="718" t="s">
        <v>583</v>
      </c>
      <c r="E151" s="721">
        <f t="shared" ref="E151:O151" si="15">SUM(E87:E100)</f>
        <v>5263</v>
      </c>
      <c r="F151" s="721">
        <f t="shared" si="15"/>
        <v>5845</v>
      </c>
      <c r="G151" s="721">
        <f t="shared" si="15"/>
        <v>284</v>
      </c>
      <c r="H151" s="721">
        <f t="shared" si="15"/>
        <v>1528</v>
      </c>
      <c r="I151" s="721">
        <f t="shared" si="15"/>
        <v>133</v>
      </c>
      <c r="J151" s="721">
        <f t="shared" si="15"/>
        <v>1661</v>
      </c>
      <c r="K151" s="721">
        <f t="shared" si="15"/>
        <v>4317</v>
      </c>
      <c r="L151" s="721">
        <f t="shared" si="15"/>
        <v>151</v>
      </c>
      <c r="M151" s="721">
        <f t="shared" si="15"/>
        <v>4468</v>
      </c>
      <c r="N151" s="721">
        <f t="shared" si="15"/>
        <v>6129</v>
      </c>
      <c r="O151" s="721">
        <f t="shared" si="15"/>
        <v>866</v>
      </c>
      <c r="P151" s="97">
        <f t="shared" si="13"/>
        <v>0.16454493634809042</v>
      </c>
    </row>
    <row r="152" spans="1:17" s="52" customFormat="1">
      <c r="D152" s="718" t="s">
        <v>584</v>
      </c>
      <c r="E152" s="721">
        <f t="shared" ref="E152:O152" si="16">SUM(E101:E120)</f>
        <v>10053</v>
      </c>
      <c r="F152" s="721">
        <f t="shared" si="16"/>
        <v>13362</v>
      </c>
      <c r="G152" s="721">
        <f t="shared" si="16"/>
        <v>391</v>
      </c>
      <c r="H152" s="721">
        <f t="shared" si="16"/>
        <v>2562</v>
      </c>
      <c r="I152" s="721">
        <f t="shared" si="16"/>
        <v>173</v>
      </c>
      <c r="J152" s="721">
        <f t="shared" si="16"/>
        <v>2735</v>
      </c>
      <c r="K152" s="721">
        <f t="shared" si="16"/>
        <v>10800</v>
      </c>
      <c r="L152" s="721">
        <f t="shared" si="16"/>
        <v>218</v>
      </c>
      <c r="M152" s="721">
        <f t="shared" si="16"/>
        <v>11018</v>
      </c>
      <c r="N152" s="721">
        <f t="shared" si="16"/>
        <v>13753</v>
      </c>
      <c r="O152" s="721">
        <f t="shared" si="16"/>
        <v>3700</v>
      </c>
      <c r="P152" s="97">
        <f t="shared" si="13"/>
        <v>0.3680493385059187</v>
      </c>
    </row>
    <row r="153" spans="1:17" s="52" customFormat="1">
      <c r="D153" s="718" t="s">
        <v>585</v>
      </c>
      <c r="E153" s="721">
        <f t="shared" ref="E153:O153" si="17">SUM(E121:E141)</f>
        <v>9049</v>
      </c>
      <c r="F153" s="721">
        <f t="shared" si="17"/>
        <v>8600</v>
      </c>
      <c r="G153" s="721">
        <f t="shared" si="17"/>
        <v>1736</v>
      </c>
      <c r="H153" s="721">
        <f t="shared" si="17"/>
        <v>1862</v>
      </c>
      <c r="I153" s="721">
        <f t="shared" si="17"/>
        <v>594</v>
      </c>
      <c r="J153" s="721">
        <f t="shared" si="17"/>
        <v>2456</v>
      </c>
      <c r="K153" s="721">
        <f t="shared" si="17"/>
        <v>6738</v>
      </c>
      <c r="L153" s="721">
        <f t="shared" si="17"/>
        <v>1142</v>
      </c>
      <c r="M153" s="721">
        <f t="shared" si="17"/>
        <v>7880</v>
      </c>
      <c r="N153" s="721">
        <f t="shared" si="17"/>
        <v>10336</v>
      </c>
      <c r="O153" s="721">
        <f t="shared" si="17"/>
        <v>1287</v>
      </c>
      <c r="P153" s="97">
        <f t="shared" si="13"/>
        <v>0.14222566029395511</v>
      </c>
    </row>
    <row r="154" spans="1:17" s="52" customFormat="1">
      <c r="D154" s="722" t="s">
        <v>119</v>
      </c>
      <c r="E154" s="723">
        <f t="shared" ref="E154:O154" si="18">SUM(E148:E153)</f>
        <v>75787</v>
      </c>
      <c r="F154" s="723">
        <f t="shared" si="18"/>
        <v>85913</v>
      </c>
      <c r="G154" s="723">
        <f t="shared" si="18"/>
        <v>6277</v>
      </c>
      <c r="H154" s="723">
        <f t="shared" si="18"/>
        <v>22093</v>
      </c>
      <c r="I154" s="723">
        <f t="shared" si="18"/>
        <v>2443</v>
      </c>
      <c r="J154" s="723">
        <f t="shared" si="18"/>
        <v>24536</v>
      </c>
      <c r="K154" s="723">
        <f t="shared" si="18"/>
        <v>63820</v>
      </c>
      <c r="L154" s="723">
        <f t="shared" si="18"/>
        <v>3834</v>
      </c>
      <c r="M154" s="723">
        <f t="shared" si="18"/>
        <v>67654</v>
      </c>
      <c r="N154" s="723">
        <f t="shared" si="18"/>
        <v>92190</v>
      </c>
      <c r="O154" s="723">
        <f t="shared" si="18"/>
        <v>16403</v>
      </c>
      <c r="P154" s="724">
        <f t="shared" si="13"/>
        <v>0.21643553643764757</v>
      </c>
    </row>
  </sheetData>
  <mergeCells count="12">
    <mergeCell ref="O8:P8"/>
    <mergeCell ref="K1:Q2"/>
    <mergeCell ref="E3:Q3"/>
    <mergeCell ref="E1:J2"/>
    <mergeCell ref="E8:E9"/>
    <mergeCell ref="F8:G8"/>
    <mergeCell ref="H8:J8"/>
    <mergeCell ref="N8:N9"/>
    <mergeCell ref="E6:G6"/>
    <mergeCell ref="E7:G7"/>
    <mergeCell ref="H7:M7"/>
    <mergeCell ref="K8:M8"/>
  </mergeCells>
  <conditionalFormatting sqref="Q142">
    <cfRule type="expression" dxfId="36" priority="17">
      <formula>LEFT(Q142, 1) = "1"</formula>
    </cfRule>
  </conditionalFormatting>
  <conditionalFormatting sqref="Q142">
    <cfRule type="expression" dxfId="35" priority="18">
      <formula>LEFT(Q142, 1) = "2"</formula>
    </cfRule>
  </conditionalFormatting>
  <conditionalFormatting sqref="Q142">
    <cfRule type="expression" dxfId="34" priority="19">
      <formula>LEFT(Q142, 1) = "3"</formula>
    </cfRule>
  </conditionalFormatting>
  <conditionalFormatting sqref="Q142">
    <cfRule type="expression" dxfId="33" priority="20">
      <formula>LEFT(Q142, 1) = "4"</formula>
    </cfRule>
  </conditionalFormatting>
  <conditionalFormatting sqref="Q142">
    <cfRule type="expression" dxfId="32" priority="21">
      <formula>LEFT(Q142, 1) = "5"</formula>
    </cfRule>
  </conditionalFormatting>
  <conditionalFormatting sqref="Q142">
    <cfRule type="expression" dxfId="31" priority="22">
      <formula>LEFT(Q142, 1) = "6"</formula>
    </cfRule>
  </conditionalFormatting>
  <conditionalFormatting sqref="P10:P147">
    <cfRule type="cellIs" dxfId="30" priority="23" operator="between">
      <formula>0.001</formula>
      <formula>0.499</formula>
    </cfRule>
  </conditionalFormatting>
  <conditionalFormatting sqref="P10:P147">
    <cfRule type="cellIs" dxfId="29" priority="24" operator="between">
      <formula>0.5</formula>
      <formula>0.999</formula>
    </cfRule>
  </conditionalFormatting>
  <conditionalFormatting sqref="P10:P147">
    <cfRule type="cellIs" dxfId="28" priority="25" operator="greaterThanOrEqual">
      <formula>1</formula>
    </cfRule>
  </conditionalFormatting>
  <conditionalFormatting sqref="P10:P147">
    <cfRule type="cellIs" dxfId="27" priority="26" operator="lessThanOrEqual">
      <formula>0</formula>
    </cfRule>
  </conditionalFormatting>
  <conditionalFormatting sqref="C62:C73">
    <cfRule type="expression" dxfId="26" priority="5">
      <formula>LEFT(C62, 1) = "1"</formula>
    </cfRule>
  </conditionalFormatting>
  <conditionalFormatting sqref="C62:C73">
    <cfRule type="expression" dxfId="25" priority="6">
      <formula>LEFT(C62, 1) = "2"</formula>
    </cfRule>
  </conditionalFormatting>
  <conditionalFormatting sqref="C62:C73">
    <cfRule type="expression" dxfId="24" priority="7">
      <formula>LEFT(C62, 1) = "3"</formula>
    </cfRule>
  </conditionalFormatting>
  <conditionalFormatting sqref="C62:C73">
    <cfRule type="expression" dxfId="23" priority="8">
      <formula>LEFT(C62, 1) = "4"</formula>
    </cfRule>
  </conditionalFormatting>
  <conditionalFormatting sqref="C62:C73">
    <cfRule type="expression" dxfId="22" priority="9">
      <formula>LEFT(C62, 1) = "5"</formula>
    </cfRule>
  </conditionalFormatting>
  <conditionalFormatting sqref="C62:C73">
    <cfRule type="expression" dxfId="21" priority="10">
      <formula>LEFT(C62, 1) = "6"</formula>
    </cfRule>
  </conditionalFormatting>
  <conditionalFormatting sqref="C10:C61">
    <cfRule type="expression" dxfId="20" priority="11">
      <formula>LEFT(C10, 1) = "1"</formula>
    </cfRule>
  </conditionalFormatting>
  <conditionalFormatting sqref="C10:C61">
    <cfRule type="expression" dxfId="19" priority="12">
      <formula>LEFT(C10, 1) = "2"</formula>
    </cfRule>
  </conditionalFormatting>
  <conditionalFormatting sqref="C10:C61">
    <cfRule type="expression" dxfId="18" priority="13">
      <formula>LEFT(C10, 1) = "3"</formula>
    </cfRule>
  </conditionalFormatting>
  <conditionalFormatting sqref="C10:C61">
    <cfRule type="expression" dxfId="17" priority="14">
      <formula>LEFT(C10, 1) = "4"</formula>
    </cfRule>
  </conditionalFormatting>
  <conditionalFormatting sqref="C10:C61">
    <cfRule type="expression" dxfId="16" priority="15">
      <formula>LEFT(C10, 1) = "5"</formula>
    </cfRule>
  </conditionalFormatting>
  <conditionalFormatting sqref="C10:C61">
    <cfRule type="expression" dxfId="15" priority="16">
      <formula>LEFT(C10, 1) = "6"</formula>
    </cfRule>
  </conditionalFormatting>
  <conditionalFormatting sqref="P148:P154">
    <cfRule type="cellIs" dxfId="14" priority="1" operator="between">
      <formula>0.001</formula>
      <formula>0.499</formula>
    </cfRule>
  </conditionalFormatting>
  <conditionalFormatting sqref="P148:P154">
    <cfRule type="cellIs" dxfId="13" priority="2" operator="between">
      <formula>0.5</formula>
      <formula>0.999</formula>
    </cfRule>
  </conditionalFormatting>
  <conditionalFormatting sqref="P148:P154">
    <cfRule type="cellIs" dxfId="12" priority="3" operator="greaterThanOrEqual">
      <formula>1</formula>
    </cfRule>
  </conditionalFormatting>
  <conditionalFormatting sqref="P148:P154">
    <cfRule type="cellIs" dxfId="11" priority="4" operator="lessThanOrEqual">
      <formula>0</formula>
    </cfRule>
  </conditionalFormatting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2:H19"/>
  <sheetViews>
    <sheetView showGridLines="0" topLeftCell="A12" workbookViewId="0">
      <selection activeCell="A11" sqref="A11:H19"/>
    </sheetView>
  </sheetViews>
  <sheetFormatPr baseColWidth="10" defaultRowHeight="12.75"/>
  <cols>
    <col min="1" max="1" width="17.28515625" style="16" customWidth="1"/>
    <col min="2" max="8" width="17" style="16" customWidth="1"/>
    <col min="9" max="16384" width="11.42578125" style="16"/>
  </cols>
  <sheetData>
    <row r="2" spans="1:8" ht="13.5" thickBot="1"/>
    <row r="3" spans="1:8" s="1333" customFormat="1" ht="27" customHeight="1">
      <c r="A3" s="1331" t="s">
        <v>863</v>
      </c>
      <c r="B3" s="1348" t="s">
        <v>864</v>
      </c>
      <c r="C3" s="1348" t="s">
        <v>866</v>
      </c>
      <c r="D3" s="1332" t="s">
        <v>865</v>
      </c>
    </row>
    <row r="4" spans="1:8" ht="17.25" customHeight="1">
      <c r="A4" s="1334" t="s">
        <v>860</v>
      </c>
      <c r="B4" s="1335">
        <v>3</v>
      </c>
      <c r="C4" s="1336">
        <v>33</v>
      </c>
      <c r="D4" s="1337">
        <f>+C4+B4</f>
        <v>36</v>
      </c>
    </row>
    <row r="5" spans="1:8" ht="17.25" customHeight="1">
      <c r="A5" s="1338" t="s">
        <v>861</v>
      </c>
      <c r="B5" s="1339">
        <v>9</v>
      </c>
      <c r="C5" s="1340">
        <v>67</v>
      </c>
      <c r="D5" s="1341">
        <f>+C5+B5</f>
        <v>76</v>
      </c>
    </row>
    <row r="6" spans="1:8" ht="17.25" customHeight="1">
      <c r="A6" s="1342" t="s">
        <v>862</v>
      </c>
      <c r="B6" s="1343">
        <v>0</v>
      </c>
      <c r="C6" s="1344">
        <v>24</v>
      </c>
      <c r="D6" s="1345">
        <f>+C6+B6</f>
        <v>24</v>
      </c>
    </row>
    <row r="7" spans="1:8" ht="18.75" customHeight="1" thickBot="1">
      <c r="A7" s="1349" t="s">
        <v>865</v>
      </c>
      <c r="B7" s="1346">
        <v>12</v>
      </c>
      <c r="C7" s="1346">
        <v>123</v>
      </c>
      <c r="D7" s="1347">
        <f>+C7+B7</f>
        <v>135</v>
      </c>
    </row>
    <row r="10" spans="1:8" ht="13.5" thickBot="1"/>
    <row r="11" spans="1:8" ht="27.75" customHeight="1">
      <c r="A11" s="2177" t="s">
        <v>86</v>
      </c>
      <c r="B11" s="1326" t="s">
        <v>867</v>
      </c>
      <c r="C11" s="2179" t="s">
        <v>871</v>
      </c>
      <c r="D11" s="2179"/>
      <c r="E11" s="2179" t="s">
        <v>872</v>
      </c>
      <c r="F11" s="2179"/>
      <c r="G11" s="2179" t="s">
        <v>873</v>
      </c>
      <c r="H11" s="2180"/>
    </row>
    <row r="12" spans="1:8" ht="51" customHeight="1">
      <c r="A12" s="2178"/>
      <c r="B12" s="1350" t="s">
        <v>868</v>
      </c>
      <c r="C12" s="1350" t="s">
        <v>870</v>
      </c>
      <c r="D12" s="1350" t="s">
        <v>869</v>
      </c>
      <c r="E12" s="1350" t="s">
        <v>870</v>
      </c>
      <c r="F12" s="1350" t="s">
        <v>869</v>
      </c>
      <c r="G12" s="1350" t="s">
        <v>870</v>
      </c>
      <c r="H12" s="1351" t="s">
        <v>869</v>
      </c>
    </row>
    <row r="13" spans="1:8" ht="16.5" customHeight="1">
      <c r="A13" s="1352" t="s">
        <v>2</v>
      </c>
      <c r="B13" s="1353">
        <v>45</v>
      </c>
      <c r="C13" s="1354">
        <v>35</v>
      </c>
      <c r="D13" s="1354">
        <v>610</v>
      </c>
      <c r="E13" s="1354">
        <v>53</v>
      </c>
      <c r="F13" s="1354">
        <v>532</v>
      </c>
      <c r="G13" s="1354">
        <v>33</v>
      </c>
      <c r="H13" s="1355">
        <v>552</v>
      </c>
    </row>
    <row r="14" spans="1:8" ht="16.5" customHeight="1">
      <c r="A14" s="1356" t="s">
        <v>654</v>
      </c>
      <c r="B14" s="1357">
        <v>34</v>
      </c>
      <c r="C14" s="1358">
        <v>9</v>
      </c>
      <c r="D14" s="1358">
        <v>151</v>
      </c>
      <c r="E14" s="1358">
        <v>22</v>
      </c>
      <c r="F14" s="1358">
        <v>314</v>
      </c>
      <c r="G14" s="1358">
        <v>16</v>
      </c>
      <c r="H14" s="1359">
        <v>330</v>
      </c>
    </row>
    <row r="15" spans="1:8" ht="16.5" customHeight="1">
      <c r="A15" s="1360" t="s">
        <v>4</v>
      </c>
      <c r="B15" s="1361">
        <v>6</v>
      </c>
      <c r="C15" s="1362">
        <v>20</v>
      </c>
      <c r="D15" s="1362">
        <v>301</v>
      </c>
      <c r="E15" s="1362">
        <v>0</v>
      </c>
      <c r="F15" s="1362">
        <v>0</v>
      </c>
      <c r="G15" s="1362">
        <v>3</v>
      </c>
      <c r="H15" s="1363">
        <v>61</v>
      </c>
    </row>
    <row r="16" spans="1:8" ht="16.5" customHeight="1">
      <c r="A16" s="1356" t="s">
        <v>10</v>
      </c>
      <c r="B16" s="1357">
        <v>18</v>
      </c>
      <c r="C16" s="1358">
        <v>9</v>
      </c>
      <c r="D16" s="1358">
        <v>92</v>
      </c>
      <c r="E16" s="1358">
        <v>3</v>
      </c>
      <c r="F16" s="1358">
        <v>58</v>
      </c>
      <c r="G16" s="1358">
        <v>2</v>
      </c>
      <c r="H16" s="1359">
        <v>31</v>
      </c>
    </row>
    <row r="17" spans="1:8" ht="16.5" customHeight="1">
      <c r="A17" s="1360" t="s">
        <v>5</v>
      </c>
      <c r="B17" s="1361">
        <v>8</v>
      </c>
      <c r="C17" s="1362">
        <v>6</v>
      </c>
      <c r="D17" s="1362">
        <v>1217</v>
      </c>
      <c r="E17" s="1362">
        <v>6</v>
      </c>
      <c r="F17" s="1362">
        <v>128</v>
      </c>
      <c r="G17" s="1362">
        <v>5</v>
      </c>
      <c r="H17" s="1363">
        <v>83</v>
      </c>
    </row>
    <row r="18" spans="1:8" ht="16.5" customHeight="1">
      <c r="A18" s="1364" t="s">
        <v>11</v>
      </c>
      <c r="B18" s="1365">
        <v>15</v>
      </c>
      <c r="C18" s="1366">
        <v>6</v>
      </c>
      <c r="D18" s="1366">
        <v>120</v>
      </c>
      <c r="E18" s="1366">
        <v>5</v>
      </c>
      <c r="F18" s="1366">
        <v>70</v>
      </c>
      <c r="G18" s="1366">
        <v>6</v>
      </c>
      <c r="H18" s="1367">
        <v>140</v>
      </c>
    </row>
    <row r="19" spans="1:8" ht="22.5" customHeight="1" thickBot="1">
      <c r="A19" s="1368" t="s">
        <v>6</v>
      </c>
      <c r="B19" s="1369">
        <f>SUM(B13:B18)</f>
        <v>126</v>
      </c>
      <c r="C19" s="1369">
        <f t="shared" ref="C19:H19" si="0">SUM(C13:C18)</f>
        <v>85</v>
      </c>
      <c r="D19" s="1369">
        <f t="shared" si="0"/>
        <v>2491</v>
      </c>
      <c r="E19" s="1369">
        <f t="shared" si="0"/>
        <v>89</v>
      </c>
      <c r="F19" s="1369">
        <f t="shared" si="0"/>
        <v>1102</v>
      </c>
      <c r="G19" s="1369">
        <f t="shared" si="0"/>
        <v>65</v>
      </c>
      <c r="H19" s="1370">
        <f t="shared" si="0"/>
        <v>1197</v>
      </c>
    </row>
  </sheetData>
  <mergeCells count="4">
    <mergeCell ref="A11:A12"/>
    <mergeCell ref="C11:D11"/>
    <mergeCell ref="E11:F11"/>
    <mergeCell ref="G11:H11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4:I67"/>
  <sheetViews>
    <sheetView showGridLines="0" workbookViewId="0">
      <selection activeCell="A17" sqref="A17"/>
    </sheetView>
  </sheetViews>
  <sheetFormatPr baseColWidth="10" defaultRowHeight="15"/>
  <cols>
    <col min="1" max="4" width="15.140625" customWidth="1"/>
    <col min="5" max="5" width="3.7109375" customWidth="1"/>
    <col min="6" max="9" width="15.140625" customWidth="1"/>
  </cols>
  <sheetData>
    <row r="4" spans="1:9" ht="15" customHeight="1">
      <c r="A4" s="2181" t="s">
        <v>874</v>
      </c>
      <c r="B4" s="2182"/>
      <c r="C4" s="2182"/>
      <c r="D4" s="2182"/>
    </row>
    <row r="5" spans="1:9" ht="15.75" thickBot="1">
      <c r="A5" s="2183"/>
      <c r="B5" s="2184"/>
      <c r="C5" s="2184"/>
      <c r="D5" s="2184"/>
    </row>
    <row r="6" spans="1:9" ht="29.25" customHeight="1">
      <c r="A6" s="1377" t="s">
        <v>0</v>
      </c>
      <c r="B6" s="1378">
        <v>2020</v>
      </c>
      <c r="C6" s="1378">
        <v>2021</v>
      </c>
      <c r="D6" s="1379" t="s">
        <v>316</v>
      </c>
    </row>
    <row r="7" spans="1:9">
      <c r="A7" s="1374" t="s">
        <v>875</v>
      </c>
      <c r="B7" s="1371">
        <v>5537</v>
      </c>
      <c r="C7" s="1371">
        <v>5688</v>
      </c>
      <c r="D7" s="1380">
        <f>+C7*1/B7-1</f>
        <v>2.727108542532064E-2</v>
      </c>
    </row>
    <row r="8" spans="1:9">
      <c r="A8" s="1375" t="s">
        <v>876</v>
      </c>
      <c r="B8" s="1372">
        <v>9194</v>
      </c>
      <c r="C8" s="1372">
        <v>9512</v>
      </c>
      <c r="D8" s="1381">
        <f t="shared" ref="D8:D13" si="0">+C8*1/B8-1</f>
        <v>3.4587774635632007E-2</v>
      </c>
    </row>
    <row r="9" spans="1:9">
      <c r="A9" s="1374" t="s">
        <v>60</v>
      </c>
      <c r="B9" s="1371">
        <v>1950</v>
      </c>
      <c r="C9" s="1371">
        <v>2635</v>
      </c>
      <c r="D9" s="1380">
        <f>+C9*1/B9-1</f>
        <v>0.35128205128205137</v>
      </c>
    </row>
    <row r="10" spans="1:9">
      <c r="A10" s="1375" t="s">
        <v>137</v>
      </c>
      <c r="B10" s="1372">
        <v>2937</v>
      </c>
      <c r="C10" s="1372">
        <v>3220</v>
      </c>
      <c r="D10" s="1381">
        <f t="shared" si="0"/>
        <v>9.635682669390544E-2</v>
      </c>
    </row>
    <row r="11" spans="1:9">
      <c r="A11" s="1374" t="s">
        <v>61</v>
      </c>
      <c r="B11" s="1371">
        <v>2512</v>
      </c>
      <c r="C11" s="1371">
        <v>2781</v>
      </c>
      <c r="D11" s="1380">
        <f t="shared" si="0"/>
        <v>0.10708598726114649</v>
      </c>
    </row>
    <row r="12" spans="1:9">
      <c r="A12" s="1375" t="s">
        <v>138</v>
      </c>
      <c r="B12" s="1372">
        <v>4644</v>
      </c>
      <c r="C12" s="1372">
        <v>3738</v>
      </c>
      <c r="D12" s="1381">
        <f t="shared" si="0"/>
        <v>-0.19509043927648584</v>
      </c>
    </row>
    <row r="13" spans="1:9" ht="19.5" customHeight="1" thickBot="1">
      <c r="A13" s="1376" t="s">
        <v>877</v>
      </c>
      <c r="B13" s="1373">
        <v>26774</v>
      </c>
      <c r="C13" s="1373">
        <v>27574</v>
      </c>
      <c r="D13" s="1382">
        <f t="shared" si="0"/>
        <v>2.9879734070366704E-2</v>
      </c>
    </row>
    <row r="15" spans="1:9" ht="15.75" thickBot="1"/>
    <row r="16" spans="1:9" ht="15.75" thickBot="1">
      <c r="A16" s="2185" t="s">
        <v>878</v>
      </c>
      <c r="B16" s="2186"/>
      <c r="C16" s="2186"/>
      <c r="D16" s="2187"/>
      <c r="F16" s="2185" t="s">
        <v>892</v>
      </c>
      <c r="G16" s="2186"/>
      <c r="H16" s="2186"/>
      <c r="I16" s="2187"/>
    </row>
    <row r="17" spans="1:9" ht="24" customHeight="1">
      <c r="A17" s="1707" t="s">
        <v>883</v>
      </c>
      <c r="B17" s="1708">
        <v>2020</v>
      </c>
      <c r="C17" s="1708">
        <v>2021</v>
      </c>
      <c r="D17" s="1709" t="s">
        <v>945</v>
      </c>
      <c r="E17" s="248"/>
      <c r="F17" s="1707" t="s">
        <v>883</v>
      </c>
      <c r="G17" s="1708">
        <v>2020</v>
      </c>
      <c r="H17" s="1708">
        <v>2021</v>
      </c>
      <c r="I17" s="1709" t="s">
        <v>945</v>
      </c>
    </row>
    <row r="18" spans="1:9">
      <c r="A18" s="1695" t="s">
        <v>879</v>
      </c>
      <c r="B18" s="1696">
        <v>822025</v>
      </c>
      <c r="C18" s="1696">
        <v>1474456</v>
      </c>
      <c r="D18" s="1697">
        <f>+C18*1/B18-1</f>
        <v>0.79368753991666918</v>
      </c>
      <c r="E18" s="1698"/>
      <c r="F18" s="1695" t="s">
        <v>887</v>
      </c>
      <c r="G18" s="1696">
        <v>22320</v>
      </c>
      <c r="H18" s="1696">
        <v>34189</v>
      </c>
      <c r="I18" s="1697">
        <f>+H18*1/G18-1</f>
        <v>0.5317652329749103</v>
      </c>
    </row>
    <row r="19" spans="1:9">
      <c r="A19" s="1699" t="s">
        <v>880</v>
      </c>
      <c r="B19" s="1700">
        <v>4265</v>
      </c>
      <c r="C19" s="1700">
        <v>5563</v>
      </c>
      <c r="D19" s="1701">
        <f t="shared" ref="D19:D22" si="1">+C19*1/B19-1</f>
        <v>0.30433763188745599</v>
      </c>
      <c r="E19" s="1698"/>
      <c r="F19" s="1699" t="s">
        <v>884</v>
      </c>
      <c r="G19" s="1700">
        <v>6117</v>
      </c>
      <c r="H19" s="1700">
        <v>6756</v>
      </c>
      <c r="I19" s="1701">
        <f t="shared" ref="I19" si="2">+H19*1/G19-1</f>
        <v>0.10446297204512023</v>
      </c>
    </row>
    <row r="20" spans="1:9">
      <c r="A20" s="1695" t="s">
        <v>881</v>
      </c>
      <c r="B20" s="1696">
        <v>110813</v>
      </c>
      <c r="C20" s="1696">
        <v>185851</v>
      </c>
      <c r="D20" s="1697">
        <f>+C20*1/B20-1</f>
        <v>0.67715881710629611</v>
      </c>
      <c r="E20" s="1698"/>
      <c r="F20" s="1695" t="s">
        <v>885</v>
      </c>
      <c r="G20" s="1696">
        <v>15494</v>
      </c>
      <c r="H20" s="1696">
        <v>24695</v>
      </c>
      <c r="I20" s="1697">
        <f>+H20*1/G20-1</f>
        <v>0.59384277784949013</v>
      </c>
    </row>
    <row r="21" spans="1:9" ht="15" customHeight="1">
      <c r="A21" s="1699" t="s">
        <v>882</v>
      </c>
      <c r="B21" s="1700">
        <v>4</v>
      </c>
      <c r="C21" s="1700">
        <v>11</v>
      </c>
      <c r="D21" s="1701">
        <f>+C21*1/B21-1</f>
        <v>1.75</v>
      </c>
      <c r="E21" s="1698"/>
      <c r="F21" s="1699" t="s">
        <v>886</v>
      </c>
      <c r="G21" s="1700">
        <v>12528</v>
      </c>
      <c r="H21" s="1700">
        <v>20194</v>
      </c>
      <c r="I21" s="1701">
        <f>+H21*1/G21-1</f>
        <v>0.61190932311621959</v>
      </c>
    </row>
    <row r="22" spans="1:9">
      <c r="A22" s="1695" t="s">
        <v>828</v>
      </c>
      <c r="B22" s="1696">
        <v>10158</v>
      </c>
      <c r="C22" s="1696">
        <v>26225</v>
      </c>
      <c r="D22" s="1702">
        <f t="shared" si="1"/>
        <v>1.5817089978342191</v>
      </c>
      <c r="E22" s="1698"/>
      <c r="F22" s="1695" t="s">
        <v>828</v>
      </c>
      <c r="G22" s="1696">
        <v>10598</v>
      </c>
      <c r="H22" s="1696">
        <v>18865</v>
      </c>
      <c r="I22" s="1702">
        <f t="shared" ref="I22" si="3">+H22*1/G22-1</f>
        <v>0.7800528401585205</v>
      </c>
    </row>
    <row r="23" spans="1:9" ht="20.25" customHeight="1" thickBot="1">
      <c r="A23" s="1703" t="s">
        <v>41</v>
      </c>
      <c r="B23" s="1704">
        <f>SUM(B18:B22)</f>
        <v>947265</v>
      </c>
      <c r="C23" s="1704">
        <f>SUM(C18:C22)</f>
        <v>1692106</v>
      </c>
      <c r="D23" s="1705">
        <f>+C23*1/B23-1</f>
        <v>0.78630689405815701</v>
      </c>
      <c r="E23" s="1698"/>
      <c r="F23" s="1706" t="s">
        <v>946</v>
      </c>
      <c r="G23" s="1704">
        <f>SUM(G18:G22)</f>
        <v>67057</v>
      </c>
      <c r="H23" s="1704">
        <f>SUM(H18:H22)</f>
        <v>104699</v>
      </c>
      <c r="I23" s="1705">
        <f>+H23*1/G23-1</f>
        <v>0.56134333477489307</v>
      </c>
    </row>
    <row r="25" spans="1:9" ht="15.75" thickBot="1"/>
    <row r="26" spans="1:9" ht="18" customHeight="1">
      <c r="A26" s="1377" t="s">
        <v>883</v>
      </c>
      <c r="B26" s="1378">
        <v>2020</v>
      </c>
      <c r="C26" s="1378">
        <v>2021</v>
      </c>
      <c r="D26" s="1379" t="s">
        <v>316</v>
      </c>
    </row>
    <row r="27" spans="1:9" ht="42.75">
      <c r="A27" s="1385" t="s">
        <v>888</v>
      </c>
      <c r="B27" s="1383">
        <v>2541341</v>
      </c>
      <c r="C27" s="1383">
        <v>947312</v>
      </c>
      <c r="D27" s="1390">
        <f>+C27*1/B27-1</f>
        <v>-0.62723931971348978</v>
      </c>
    </row>
    <row r="28" spans="1:9">
      <c r="A28" s="1386" t="s">
        <v>889</v>
      </c>
      <c r="B28" s="1384">
        <v>20975</v>
      </c>
      <c r="C28" s="1384">
        <v>13181</v>
      </c>
      <c r="D28" s="1389">
        <f t="shared" ref="D28:D32" si="4">+C28*1/B28-1</f>
        <v>-0.37158522050059595</v>
      </c>
    </row>
    <row r="29" spans="1:9">
      <c r="A29" s="1385" t="s">
        <v>890</v>
      </c>
      <c r="B29" s="1383">
        <v>960</v>
      </c>
      <c r="C29" s="1383">
        <v>3</v>
      </c>
      <c r="D29" s="1390">
        <f t="shared" si="4"/>
        <v>-0.99687499999999996</v>
      </c>
    </row>
    <row r="30" spans="1:9">
      <c r="A30" s="1386" t="s">
        <v>891</v>
      </c>
      <c r="B30" s="1384">
        <v>42418</v>
      </c>
      <c r="C30" s="1384">
        <v>1342</v>
      </c>
      <c r="D30" s="1389">
        <f t="shared" si="4"/>
        <v>-0.96836248762317889</v>
      </c>
    </row>
    <row r="31" spans="1:9">
      <c r="A31" s="1385" t="s">
        <v>828</v>
      </c>
      <c r="B31" s="1383">
        <v>135407</v>
      </c>
      <c r="C31" s="1383">
        <v>57471</v>
      </c>
      <c r="D31" s="1391">
        <f t="shared" si="4"/>
        <v>-0.57556847134933942</v>
      </c>
    </row>
    <row r="32" spans="1:9" ht="18.75" customHeight="1" thickBot="1">
      <c r="A32" s="1376" t="s">
        <v>6</v>
      </c>
      <c r="B32" s="1387">
        <v>2741101</v>
      </c>
      <c r="C32" s="1387">
        <v>1019308</v>
      </c>
      <c r="D32" s="1388">
        <f t="shared" si="4"/>
        <v>-0.62813920391842548</v>
      </c>
    </row>
    <row r="34" spans="1:7" ht="15.75" thickBot="1"/>
    <row r="35" spans="1:7" ht="16.5" customHeight="1">
      <c r="A35" s="2195" t="s">
        <v>893</v>
      </c>
      <c r="B35" s="2190" t="s">
        <v>894</v>
      </c>
      <c r="C35" s="2190"/>
      <c r="D35" s="2190" t="s">
        <v>897</v>
      </c>
      <c r="E35" s="2190"/>
      <c r="F35" s="2190" t="s">
        <v>898</v>
      </c>
      <c r="G35" s="2191"/>
    </row>
    <row r="36" spans="1:7" ht="16.5" customHeight="1">
      <c r="A36" s="2196"/>
      <c r="B36" s="1401">
        <v>2020</v>
      </c>
      <c r="C36" s="1401">
        <v>2021</v>
      </c>
      <c r="D36" s="1401">
        <v>2020</v>
      </c>
      <c r="E36" s="1401">
        <v>2021</v>
      </c>
      <c r="F36" s="1401">
        <v>2020</v>
      </c>
      <c r="G36" s="1403">
        <v>2021</v>
      </c>
    </row>
    <row r="37" spans="1:7" ht="16.5" customHeight="1">
      <c r="A37" s="1404" t="s">
        <v>52</v>
      </c>
      <c r="B37" s="1399">
        <v>22</v>
      </c>
      <c r="C37" s="1399">
        <v>10</v>
      </c>
      <c r="D37" s="1396">
        <v>13</v>
      </c>
      <c r="E37" s="1396">
        <v>4</v>
      </c>
      <c r="F37" s="1396">
        <v>40</v>
      </c>
      <c r="G37" s="1405">
        <v>12</v>
      </c>
    </row>
    <row r="38" spans="1:7" s="1007" customFormat="1" ht="16.5" customHeight="1">
      <c r="A38" s="1375" t="s">
        <v>896</v>
      </c>
      <c r="B38" s="1398">
        <v>0</v>
      </c>
      <c r="C38" s="1398">
        <v>0</v>
      </c>
      <c r="D38" s="1398">
        <v>0</v>
      </c>
      <c r="E38" s="1398">
        <v>0</v>
      </c>
      <c r="F38" s="1398">
        <v>1</v>
      </c>
      <c r="G38" s="1406">
        <v>1</v>
      </c>
    </row>
    <row r="39" spans="1:7" ht="16.5" customHeight="1">
      <c r="A39" s="1407" t="s">
        <v>895</v>
      </c>
      <c r="B39" s="1400">
        <v>2</v>
      </c>
      <c r="C39" s="1400">
        <v>1</v>
      </c>
      <c r="D39" s="1397">
        <v>2</v>
      </c>
      <c r="E39" s="1397">
        <v>0</v>
      </c>
      <c r="F39" s="1397">
        <v>0</v>
      </c>
      <c r="G39" s="1408">
        <v>1</v>
      </c>
    </row>
    <row r="40" spans="1:7" ht="18" customHeight="1">
      <c r="A40" s="1409" t="s">
        <v>6</v>
      </c>
      <c r="B40" s="1402">
        <v>21</v>
      </c>
      <c r="C40" s="1402">
        <v>11</v>
      </c>
      <c r="D40" s="1402">
        <v>15</v>
      </c>
      <c r="E40" s="1402">
        <v>4</v>
      </c>
      <c r="F40" s="1402">
        <v>41</v>
      </c>
      <c r="G40" s="1410">
        <v>14</v>
      </c>
    </row>
    <row r="41" spans="1:7" s="1007" customFormat="1" ht="18" customHeight="1" thickBot="1">
      <c r="A41" s="1411" t="s">
        <v>316</v>
      </c>
      <c r="B41" s="2192">
        <f>+C40*1/B40-1</f>
        <v>-0.47619047619047616</v>
      </c>
      <c r="C41" s="2193"/>
      <c r="D41" s="2192">
        <f>+E40*1/D40-1</f>
        <v>-0.73333333333333339</v>
      </c>
      <c r="E41" s="2193"/>
      <c r="F41" s="2192">
        <f>+G40*1/F40-1</f>
        <v>-0.65853658536585358</v>
      </c>
      <c r="G41" s="2194"/>
    </row>
    <row r="42" spans="1:7" ht="15.75" thickBot="1"/>
    <row r="43" spans="1:7" ht="19.5" customHeight="1">
      <c r="A43" s="1377" t="s">
        <v>906</v>
      </c>
      <c r="B43" s="1415" t="s">
        <v>907</v>
      </c>
    </row>
    <row r="44" spans="1:7" ht="15" customHeight="1">
      <c r="A44" s="1374" t="s">
        <v>899</v>
      </c>
      <c r="B44" s="1412">
        <v>89</v>
      </c>
    </row>
    <row r="45" spans="1:7" ht="15" customHeight="1">
      <c r="A45" s="1375" t="s">
        <v>900</v>
      </c>
      <c r="B45" s="1413">
        <v>12</v>
      </c>
    </row>
    <row r="46" spans="1:7" ht="15" customHeight="1">
      <c r="A46" s="1374" t="s">
        <v>901</v>
      </c>
      <c r="B46" s="1412">
        <v>381</v>
      </c>
    </row>
    <row r="47" spans="1:7" ht="15" customHeight="1">
      <c r="A47" s="1375" t="s">
        <v>902</v>
      </c>
      <c r="B47" s="1413">
        <v>34</v>
      </c>
    </row>
    <row r="48" spans="1:7" ht="15" customHeight="1">
      <c r="A48" s="1374" t="s">
        <v>903</v>
      </c>
      <c r="B48" s="1412">
        <v>1</v>
      </c>
    </row>
    <row r="49" spans="1:5" ht="15" customHeight="1">
      <c r="A49" s="1375" t="s">
        <v>904</v>
      </c>
      <c r="B49" s="1413">
        <v>3</v>
      </c>
    </row>
    <row r="50" spans="1:5" ht="15" customHeight="1">
      <c r="A50" s="1374" t="s">
        <v>905</v>
      </c>
      <c r="B50" s="1412">
        <v>4</v>
      </c>
    </row>
    <row r="51" spans="1:5" ht="19.5" customHeight="1" thickBot="1">
      <c r="A51" s="1376" t="s">
        <v>6</v>
      </c>
      <c r="B51" s="1414">
        <v>530</v>
      </c>
    </row>
    <row r="52" spans="1:5" ht="15.75" thickBot="1"/>
    <row r="53" spans="1:5" ht="15.75" thickBot="1">
      <c r="A53" s="2185" t="s">
        <v>908</v>
      </c>
      <c r="B53" s="2186"/>
      <c r="C53" s="2186"/>
      <c r="D53" s="2186"/>
      <c r="E53" s="2187"/>
    </row>
    <row r="54" spans="1:5" ht="30">
      <c r="A54" s="1377" t="s">
        <v>0</v>
      </c>
      <c r="B54" s="1423" t="s">
        <v>909</v>
      </c>
      <c r="C54" s="1423" t="s">
        <v>910</v>
      </c>
      <c r="D54" s="1423" t="s">
        <v>911</v>
      </c>
      <c r="E54" s="1415" t="s">
        <v>6</v>
      </c>
    </row>
    <row r="55" spans="1:5">
      <c r="A55" s="1416" t="s">
        <v>2</v>
      </c>
      <c r="B55" s="1417">
        <v>7084</v>
      </c>
      <c r="C55" s="1417">
        <v>1414</v>
      </c>
      <c r="D55" s="1417">
        <v>2772</v>
      </c>
      <c r="E55" s="1418">
        <v>11270</v>
      </c>
    </row>
    <row r="56" spans="1:5">
      <c r="A56" s="1375" t="s">
        <v>654</v>
      </c>
      <c r="B56" s="1420">
        <v>2044</v>
      </c>
      <c r="C56" s="1421">
        <v>407</v>
      </c>
      <c r="D56" s="1420">
        <v>1039</v>
      </c>
      <c r="E56" s="1422">
        <v>3490</v>
      </c>
    </row>
    <row r="57" spans="1:5">
      <c r="A57" s="1416" t="s">
        <v>4</v>
      </c>
      <c r="B57" s="1417">
        <v>2968</v>
      </c>
      <c r="C57" s="1419">
        <v>408</v>
      </c>
      <c r="D57" s="1419">
        <v>812</v>
      </c>
      <c r="E57" s="1418">
        <v>4188</v>
      </c>
    </row>
    <row r="58" spans="1:5">
      <c r="A58" s="1375" t="s">
        <v>10</v>
      </c>
      <c r="B58" s="1420">
        <v>1796</v>
      </c>
      <c r="C58" s="1421">
        <v>341</v>
      </c>
      <c r="D58" s="1421">
        <v>578</v>
      </c>
      <c r="E58" s="1422">
        <v>2715</v>
      </c>
    </row>
    <row r="59" spans="1:5">
      <c r="A59" s="1416" t="s">
        <v>5</v>
      </c>
      <c r="B59" s="1417">
        <v>1973</v>
      </c>
      <c r="C59" s="1419">
        <v>444</v>
      </c>
      <c r="D59" s="1419">
        <v>559</v>
      </c>
      <c r="E59" s="1418">
        <v>2976</v>
      </c>
    </row>
    <row r="60" spans="1:5">
      <c r="A60" s="1375" t="s">
        <v>11</v>
      </c>
      <c r="B60" s="1420">
        <v>2161</v>
      </c>
      <c r="C60" s="1421">
        <v>599</v>
      </c>
      <c r="D60" s="1421">
        <v>677</v>
      </c>
      <c r="E60" s="1422">
        <v>3437</v>
      </c>
    </row>
    <row r="61" spans="1:5" ht="18.75" customHeight="1" thickBot="1">
      <c r="A61" s="1376" t="s">
        <v>41</v>
      </c>
      <c r="B61" s="1387">
        <v>18026</v>
      </c>
      <c r="C61" s="1387">
        <v>3613</v>
      </c>
      <c r="D61" s="1387">
        <v>6437</v>
      </c>
      <c r="E61" s="1424">
        <v>28076</v>
      </c>
    </row>
    <row r="63" spans="1:5" ht="15.75" thickBot="1"/>
    <row r="64" spans="1:5" ht="18" customHeight="1" thickTop="1">
      <c r="A64" s="1425" t="s">
        <v>70</v>
      </c>
      <c r="B64" s="1426" t="s">
        <v>812</v>
      </c>
      <c r="C64" s="1426" t="s">
        <v>811</v>
      </c>
      <c r="D64" s="1426" t="s">
        <v>41</v>
      </c>
      <c r="E64" s="1427" t="s">
        <v>316</v>
      </c>
    </row>
    <row r="65" spans="1:5">
      <c r="A65" s="1428">
        <v>2020</v>
      </c>
      <c r="B65" s="1429">
        <v>23855</v>
      </c>
      <c r="C65" s="1429">
        <v>3620</v>
      </c>
      <c r="D65" s="1430">
        <f>+B65+C65</f>
        <v>27475</v>
      </c>
      <c r="E65" s="2188">
        <f>+D66*1/D65-1</f>
        <v>0.6029117379435851</v>
      </c>
    </row>
    <row r="66" spans="1:5" ht="15.75" thickBot="1">
      <c r="A66" s="1431">
        <v>2021</v>
      </c>
      <c r="B66" s="1432">
        <v>39528</v>
      </c>
      <c r="C66" s="1432">
        <v>4512</v>
      </c>
      <c r="D66" s="1433">
        <f>+B66+C66</f>
        <v>44040</v>
      </c>
      <c r="E66" s="2189"/>
    </row>
    <row r="67" spans="1:5" ht="15.75" thickTop="1"/>
  </sheetData>
  <mergeCells count="12">
    <mergeCell ref="A4:D5"/>
    <mergeCell ref="A16:D16"/>
    <mergeCell ref="A53:E53"/>
    <mergeCell ref="E65:E66"/>
    <mergeCell ref="F16:I16"/>
    <mergeCell ref="F35:G35"/>
    <mergeCell ref="B41:C41"/>
    <mergeCell ref="D41:E41"/>
    <mergeCell ref="F41:G41"/>
    <mergeCell ref="A35:A36"/>
    <mergeCell ref="B35:C35"/>
    <mergeCell ref="D35:E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CC00"/>
  </sheetPr>
  <dimension ref="A1:W153"/>
  <sheetViews>
    <sheetView showGridLines="0" showWhiteSpace="0" topLeftCell="A33" zoomScale="70" zoomScaleNormal="70" workbookViewId="0">
      <selection activeCell="C19" sqref="C19:G34"/>
    </sheetView>
  </sheetViews>
  <sheetFormatPr baseColWidth="10" defaultRowHeight="14.25"/>
  <cols>
    <col min="1" max="1" width="21.5703125" style="3" customWidth="1"/>
    <col min="2" max="2" width="57.7109375" style="3" customWidth="1"/>
    <col min="3" max="3" width="22.85546875" style="3" customWidth="1"/>
    <col min="4" max="8" width="20" style="3" customWidth="1"/>
    <col min="9" max="9" width="17.140625" style="3" customWidth="1"/>
    <col min="10" max="17" width="16.28515625" style="3" customWidth="1"/>
    <col min="18" max="16384" width="11.42578125" style="3"/>
  </cols>
  <sheetData>
    <row r="1" spans="1:7" ht="33" customHeight="1" thickBot="1">
      <c r="B1" s="1732" t="s">
        <v>750</v>
      </c>
      <c r="C1" s="1732"/>
      <c r="D1" s="1732"/>
      <c r="E1" s="1732"/>
    </row>
    <row r="2" spans="1:7" s="5" customFormat="1" ht="28.5" customHeight="1">
      <c r="A2" s="1747" t="s">
        <v>378</v>
      </c>
      <c r="B2" s="1735" t="s">
        <v>21</v>
      </c>
      <c r="C2" s="1737" t="s">
        <v>239</v>
      </c>
      <c r="D2" s="1733" t="s">
        <v>22</v>
      </c>
      <c r="E2" s="1734"/>
    </row>
    <row r="3" spans="1:7" s="5" customFormat="1" ht="59.25" customHeight="1" thickBot="1">
      <c r="A3" s="1748"/>
      <c r="B3" s="1736"/>
      <c r="C3" s="1738"/>
      <c r="D3" s="500" t="s">
        <v>122</v>
      </c>
      <c r="E3" s="501" t="s">
        <v>92</v>
      </c>
    </row>
    <row r="4" spans="1:7" s="5" customFormat="1" ht="38.25" customHeight="1">
      <c r="A4" s="1740" t="s">
        <v>43</v>
      </c>
      <c r="B4" s="81" t="s">
        <v>134</v>
      </c>
      <c r="C4" s="78">
        <v>96913</v>
      </c>
      <c r="D4" s="79">
        <f>+C4/$C$7</f>
        <v>0.56338871513446265</v>
      </c>
      <c r="E4" s="80">
        <f>+C4/$C$11</f>
        <v>0.55222341249943019</v>
      </c>
    </row>
    <row r="5" spans="1:7" s="5" customFormat="1" ht="26.25" customHeight="1">
      <c r="A5" s="1741"/>
      <c r="B5" s="81" t="s">
        <v>751</v>
      </c>
      <c r="C5" s="78">
        <v>70253</v>
      </c>
      <c r="D5" s="79">
        <f>+C5/$C$7</f>
        <v>0.40840493436733366</v>
      </c>
      <c r="E5" s="80">
        <f>+C5/$C$11</f>
        <v>0.40031111820212428</v>
      </c>
      <c r="G5" s="55"/>
    </row>
    <row r="6" spans="1:7" s="5" customFormat="1" ht="26.25" customHeight="1">
      <c r="A6" s="1741"/>
      <c r="B6" s="77" t="s">
        <v>131</v>
      </c>
      <c r="C6" s="78">
        <v>4852</v>
      </c>
      <c r="D6" s="79">
        <f>+C6/$C$7</f>
        <v>2.8206350498203678E-2</v>
      </c>
      <c r="E6" s="80">
        <f>+C6/$C$11</f>
        <v>2.7647353785841274E-2</v>
      </c>
    </row>
    <row r="7" spans="1:7" s="5" customFormat="1" ht="28.5" customHeight="1">
      <c r="A7" s="1741"/>
      <c r="B7" s="509" t="s">
        <v>88</v>
      </c>
      <c r="C7" s="510">
        <f>SUM(C4:C6)</f>
        <v>172018</v>
      </c>
      <c r="D7" s="511">
        <v>1</v>
      </c>
      <c r="E7" s="512">
        <f>+C7/C11</f>
        <v>0.98018188448739574</v>
      </c>
    </row>
    <row r="8" spans="1:7" s="5" customFormat="1" ht="26.25" customHeight="1">
      <c r="A8" s="1742" t="s">
        <v>89</v>
      </c>
      <c r="B8" s="77" t="s">
        <v>123</v>
      </c>
      <c r="C8" s="78">
        <v>2812</v>
      </c>
      <c r="D8" s="79">
        <f>+C8/C10</f>
        <v>0.80851063829787229</v>
      </c>
      <c r="E8" s="80">
        <f>+C8/C11</f>
        <v>1.6023157222956649E-2</v>
      </c>
    </row>
    <row r="9" spans="1:7" s="5" customFormat="1" ht="26.25" customHeight="1">
      <c r="A9" s="1743"/>
      <c r="B9" s="77" t="s">
        <v>24</v>
      </c>
      <c r="C9" s="78">
        <v>666</v>
      </c>
      <c r="D9" s="79">
        <f>+C9/C10</f>
        <v>0.19148936170212766</v>
      </c>
      <c r="E9" s="80">
        <f>+C9/C11</f>
        <v>3.7949582896476272E-3</v>
      </c>
    </row>
    <row r="10" spans="1:7" s="5" customFormat="1" ht="28.5" customHeight="1" thickBot="1">
      <c r="A10" s="1744"/>
      <c r="B10" s="505" t="s">
        <v>25</v>
      </c>
      <c r="C10" s="506">
        <f>SUM(C8:C9)</f>
        <v>3478</v>
      </c>
      <c r="D10" s="507">
        <f>SUM(D8:D9)</f>
        <v>1</v>
      </c>
      <c r="E10" s="508">
        <f>+C10/C11</f>
        <v>1.9818115512604276E-2</v>
      </c>
    </row>
    <row r="11" spans="1:7" s="5" customFormat="1" ht="28.5" customHeight="1" thickBot="1">
      <c r="A11" s="1745" t="s">
        <v>26</v>
      </c>
      <c r="B11" s="1746"/>
      <c r="C11" s="502">
        <f>+C7+C10</f>
        <v>175496</v>
      </c>
      <c r="D11" s="503"/>
      <c r="E11" s="504">
        <f>+E10+E7</f>
        <v>1</v>
      </c>
    </row>
    <row r="12" spans="1:7" ht="21" customHeight="1">
      <c r="A12" s="694" t="s">
        <v>443</v>
      </c>
      <c r="B12" s="8"/>
    </row>
    <row r="13" spans="1:7">
      <c r="A13" s="218"/>
      <c r="B13" s="27"/>
    </row>
    <row r="17" spans="3:17" ht="15">
      <c r="C17" s="1739" t="s">
        <v>753</v>
      </c>
      <c r="D17" s="1739"/>
      <c r="E17" s="1739"/>
      <c r="F17" s="1739"/>
      <c r="G17" s="1739"/>
    </row>
    <row r="18" spans="3:17" ht="15" thickBot="1"/>
    <row r="19" spans="3:17" ht="33" customHeight="1">
      <c r="C19" s="1749" t="s">
        <v>32</v>
      </c>
      <c r="D19" s="1755" t="s">
        <v>912</v>
      </c>
      <c r="E19" s="1755"/>
      <c r="F19" s="1755"/>
      <c r="G19" s="1756"/>
      <c r="I19" s="4"/>
    </row>
    <row r="20" spans="3:17" ht="48.75" customHeight="1">
      <c r="C20" s="1750"/>
      <c r="D20" s="651" t="s">
        <v>415</v>
      </c>
      <c r="E20" s="651" t="s">
        <v>416</v>
      </c>
      <c r="F20" s="651" t="s">
        <v>417</v>
      </c>
      <c r="G20" s="1076" t="s">
        <v>752</v>
      </c>
      <c r="H20" s="237"/>
      <c r="I20" s="1075"/>
      <c r="J20" s="1075"/>
      <c r="K20" s="237"/>
      <c r="L20" s="237"/>
      <c r="M20" s="237"/>
      <c r="N20" s="237"/>
      <c r="O20" s="237"/>
      <c r="P20" s="237"/>
      <c r="Q20" s="237"/>
    </row>
    <row r="21" spans="3:17" ht="18">
      <c r="C21" s="220" t="s">
        <v>247</v>
      </c>
      <c r="D21" s="221">
        <v>96775</v>
      </c>
      <c r="E21" s="221">
        <v>71532</v>
      </c>
      <c r="F21" s="221">
        <v>4979</v>
      </c>
      <c r="G21" s="529">
        <f>SUM(D21:F21)</f>
        <v>173286</v>
      </c>
      <c r="I21" s="1075"/>
      <c r="J21" s="4"/>
    </row>
    <row r="22" spans="3:17" ht="18">
      <c r="C22" s="222" t="s">
        <v>12</v>
      </c>
      <c r="D22" s="223">
        <v>97035</v>
      </c>
      <c r="E22" s="223">
        <v>71454</v>
      </c>
      <c r="F22" s="223">
        <v>5004</v>
      </c>
      <c r="G22" s="530">
        <f t="shared" ref="G22:G32" si="0">SUM(D22:F22)</f>
        <v>173493</v>
      </c>
      <c r="I22" s="1075"/>
      <c r="J22" s="4"/>
    </row>
    <row r="23" spans="3:17" ht="18">
      <c r="C23" s="220" t="s">
        <v>13</v>
      </c>
      <c r="D23" s="221">
        <v>97409</v>
      </c>
      <c r="E23" s="221">
        <v>71136</v>
      </c>
      <c r="F23" s="221">
        <v>4945</v>
      </c>
      <c r="G23" s="529">
        <f t="shared" si="0"/>
        <v>173490</v>
      </c>
      <c r="I23" s="1075"/>
      <c r="J23" s="4"/>
    </row>
    <row r="24" spans="3:17" ht="18">
      <c r="C24" s="222" t="s">
        <v>53</v>
      </c>
      <c r="D24" s="223">
        <v>97171</v>
      </c>
      <c r="E24" s="223">
        <v>71283</v>
      </c>
      <c r="F24" s="223">
        <v>4937</v>
      </c>
      <c r="G24" s="530">
        <f t="shared" si="0"/>
        <v>173391</v>
      </c>
      <c r="I24" s="1075"/>
    </row>
    <row r="25" spans="3:17" ht="18">
      <c r="C25" s="220" t="s">
        <v>243</v>
      </c>
      <c r="D25" s="221">
        <v>96589</v>
      </c>
      <c r="E25" s="221">
        <v>71175</v>
      </c>
      <c r="F25" s="221">
        <v>4920</v>
      </c>
      <c r="G25" s="529">
        <f t="shared" si="0"/>
        <v>172684</v>
      </c>
      <c r="I25" s="4"/>
    </row>
    <row r="26" spans="3:17" ht="18">
      <c r="C26" s="222" t="s">
        <v>54</v>
      </c>
      <c r="D26" s="223">
        <v>95400</v>
      </c>
      <c r="E26" s="223">
        <v>71205</v>
      </c>
      <c r="F26" s="223">
        <v>4923</v>
      </c>
      <c r="G26" s="530">
        <f t="shared" si="0"/>
        <v>171528</v>
      </c>
      <c r="I26" s="4"/>
    </row>
    <row r="27" spans="3:17" ht="18">
      <c r="C27" s="220" t="s">
        <v>56</v>
      </c>
      <c r="D27" s="221">
        <v>96386</v>
      </c>
      <c r="E27" s="221">
        <v>71344</v>
      </c>
      <c r="F27" s="221">
        <v>4903</v>
      </c>
      <c r="G27" s="529">
        <f t="shared" si="0"/>
        <v>172633</v>
      </c>
      <c r="I27" s="4"/>
    </row>
    <row r="28" spans="3:17" ht="18">
      <c r="C28" s="222" t="s">
        <v>68</v>
      </c>
      <c r="D28" s="223">
        <v>96385</v>
      </c>
      <c r="E28" s="223">
        <v>70237</v>
      </c>
      <c r="F28" s="223">
        <v>4932</v>
      </c>
      <c r="G28" s="530">
        <f t="shared" si="0"/>
        <v>171554</v>
      </c>
      <c r="I28" s="4"/>
    </row>
    <row r="29" spans="3:17" ht="18">
      <c r="C29" s="220" t="s">
        <v>69</v>
      </c>
      <c r="D29" s="221">
        <v>96819</v>
      </c>
      <c r="E29" s="221">
        <v>70912</v>
      </c>
      <c r="F29" s="221">
        <v>4978</v>
      </c>
      <c r="G29" s="529">
        <f t="shared" si="0"/>
        <v>172709</v>
      </c>
      <c r="I29" s="4"/>
    </row>
    <row r="30" spans="3:17" ht="18">
      <c r="C30" s="222" t="s">
        <v>248</v>
      </c>
      <c r="D30" s="223">
        <v>96898</v>
      </c>
      <c r="E30" s="223">
        <v>70751</v>
      </c>
      <c r="F30" s="223">
        <v>4897</v>
      </c>
      <c r="G30" s="530">
        <f t="shared" si="0"/>
        <v>172546</v>
      </c>
    </row>
    <row r="31" spans="3:17" ht="18">
      <c r="C31" s="220" t="s">
        <v>244</v>
      </c>
      <c r="D31" s="221">
        <v>97270</v>
      </c>
      <c r="E31" s="221">
        <v>70484</v>
      </c>
      <c r="F31" s="221">
        <v>4938</v>
      </c>
      <c r="G31" s="529">
        <f t="shared" si="0"/>
        <v>172692</v>
      </c>
    </row>
    <row r="32" spans="3:17" ht="18">
      <c r="C32" s="222" t="s">
        <v>249</v>
      </c>
      <c r="D32" s="223">
        <v>96913</v>
      </c>
      <c r="E32" s="223">
        <v>70253</v>
      </c>
      <c r="F32" s="223">
        <v>4852</v>
      </c>
      <c r="G32" s="530">
        <f t="shared" si="0"/>
        <v>172018</v>
      </c>
    </row>
    <row r="33" spans="1:8" ht="25.5" customHeight="1">
      <c r="C33" s="1757" t="s">
        <v>391</v>
      </c>
      <c r="D33" s="610">
        <f>AVERAGE(D21:D32)</f>
        <v>96754.166666666672</v>
      </c>
      <c r="E33" s="610">
        <f t="shared" ref="E33:F33" si="1">AVERAGE(E21:E32)</f>
        <v>70980.5</v>
      </c>
      <c r="F33" s="610">
        <f t="shared" si="1"/>
        <v>4934</v>
      </c>
      <c r="G33" s="1077">
        <f>AVERAGE(G21:G32)</f>
        <v>172668.66666666666</v>
      </c>
    </row>
    <row r="34" spans="1:8" ht="25.5" customHeight="1" thickBot="1">
      <c r="C34" s="1758"/>
      <c r="D34" s="1078">
        <f>+D33/$G$33</f>
        <v>0.56034582611012229</v>
      </c>
      <c r="E34" s="1078">
        <f>+E33/$G$33</f>
        <v>0.41107921529866454</v>
      </c>
      <c r="F34" s="1078">
        <f>+F33/$G$33</f>
        <v>2.8574958591213232E-2</v>
      </c>
      <c r="G34" s="1079">
        <f>SUM(D34:F34)</f>
        <v>1</v>
      </c>
    </row>
    <row r="35" spans="1:8">
      <c r="C35" s="694" t="s">
        <v>586</v>
      </c>
    </row>
    <row r="38" spans="1:8">
      <c r="G38" s="664"/>
    </row>
    <row r="40" spans="1:8" s="218" customFormat="1" ht="33" customHeight="1" thickBot="1">
      <c r="B40" s="1759" t="s">
        <v>809</v>
      </c>
      <c r="C40" s="1759"/>
      <c r="D40" s="1759"/>
    </row>
    <row r="41" spans="1:8" s="218" customFormat="1" ht="75.75" customHeight="1" thickBot="1">
      <c r="A41" s="890" t="s">
        <v>661</v>
      </c>
      <c r="B41" s="891" t="s">
        <v>658</v>
      </c>
      <c r="C41" s="892">
        <v>2016</v>
      </c>
      <c r="D41" s="892">
        <v>2017</v>
      </c>
      <c r="E41" s="892">
        <v>2018</v>
      </c>
      <c r="F41" s="892">
        <v>2019</v>
      </c>
      <c r="G41" s="892">
        <v>2020</v>
      </c>
      <c r="H41" s="893">
        <v>2021</v>
      </c>
    </row>
    <row r="42" spans="1:8" s="218" customFormat="1" ht="45" customHeight="1">
      <c r="A42" s="1760" t="s">
        <v>43</v>
      </c>
      <c r="B42" s="1170" t="s">
        <v>134</v>
      </c>
      <c r="C42" s="1171">
        <v>118532</v>
      </c>
      <c r="D42" s="1171">
        <v>114750</v>
      </c>
      <c r="E42" s="1171">
        <v>118513</v>
      </c>
      <c r="F42" s="1171">
        <v>123802</v>
      </c>
      <c r="G42" s="1171">
        <v>96285</v>
      </c>
      <c r="H42" s="1172">
        <f>+D32</f>
        <v>96913</v>
      </c>
    </row>
    <row r="43" spans="1:8" s="218" customFormat="1" ht="24" customHeight="1">
      <c r="A43" s="1761"/>
      <c r="B43" s="1173" t="s">
        <v>23</v>
      </c>
      <c r="C43" s="1174">
        <v>52937</v>
      </c>
      <c r="D43" s="1174">
        <v>58393</v>
      </c>
      <c r="E43" s="1174">
        <v>60613</v>
      </c>
      <c r="F43" s="1174">
        <v>62602</v>
      </c>
      <c r="G43" s="1174">
        <v>71679</v>
      </c>
      <c r="H43" s="1175">
        <f>+E32</f>
        <v>70253</v>
      </c>
    </row>
    <row r="44" spans="1:8" s="218" customFormat="1" ht="24" customHeight="1">
      <c r="A44" s="1761"/>
      <c r="B44" s="1176" t="s">
        <v>131</v>
      </c>
      <c r="C44" s="1177">
        <v>3867</v>
      </c>
      <c r="D44" s="1177">
        <v>5254</v>
      </c>
      <c r="E44" s="1177">
        <v>5245</v>
      </c>
      <c r="F44" s="1177">
        <v>4766</v>
      </c>
      <c r="G44" s="1177">
        <v>4941</v>
      </c>
      <c r="H44" s="1178">
        <f>+F32</f>
        <v>4852</v>
      </c>
    </row>
    <row r="45" spans="1:8" s="218" customFormat="1" ht="24" customHeight="1">
      <c r="A45" s="1761"/>
      <c r="B45" s="1179" t="s">
        <v>656</v>
      </c>
      <c r="C45" s="1180">
        <f>SUM(C41:C43)</f>
        <v>173485</v>
      </c>
      <c r="D45" s="1180">
        <f>SUM(D41:D43)</f>
        <v>175160</v>
      </c>
      <c r="E45" s="1180">
        <f>SUM(E41:E43)</f>
        <v>181144</v>
      </c>
      <c r="F45" s="1180">
        <f>SUM(F41:F43)</f>
        <v>188423</v>
      </c>
      <c r="G45" s="1180">
        <f>SUM(G41:G43)</f>
        <v>169984</v>
      </c>
      <c r="H45" s="1181">
        <f>SUM(H42:H44)</f>
        <v>172018</v>
      </c>
    </row>
    <row r="46" spans="1:8" s="218" customFormat="1" ht="24" customHeight="1">
      <c r="A46" s="1761"/>
      <c r="B46" s="1182" t="s">
        <v>316</v>
      </c>
      <c r="C46" s="1183">
        <v>3.5539691161635689E-2</v>
      </c>
      <c r="D46" s="1183">
        <f>+D45*1/C45-1</f>
        <v>9.6550134017350242E-3</v>
      </c>
      <c r="E46" s="1183">
        <f>+E45*1/D45-1</f>
        <v>3.416305092486871E-2</v>
      </c>
      <c r="F46" s="1183">
        <f>+F45*1/E45-1</f>
        <v>4.0183500419555651E-2</v>
      </c>
      <c r="G46" s="1183">
        <f>+G45*1/F45-1</f>
        <v>-9.7859603127006811E-2</v>
      </c>
      <c r="H46" s="1184">
        <f>+H45*1/G45-1</f>
        <v>1.1965832078313143E-2</v>
      </c>
    </row>
    <row r="47" spans="1:8" s="218" customFormat="1" ht="45" customHeight="1">
      <c r="A47" s="1762" t="s">
        <v>89</v>
      </c>
      <c r="B47" s="1170" t="s">
        <v>657</v>
      </c>
      <c r="C47" s="1171">
        <v>3006</v>
      </c>
      <c r="D47" s="1171">
        <v>2847</v>
      </c>
      <c r="E47" s="1171">
        <v>2401</v>
      </c>
      <c r="F47" s="1171">
        <v>2812</v>
      </c>
      <c r="G47" s="1171">
        <v>2905</v>
      </c>
      <c r="H47" s="1172">
        <f>+C8</f>
        <v>2812</v>
      </c>
    </row>
    <row r="48" spans="1:8" s="218" customFormat="1" ht="24" customHeight="1">
      <c r="A48" s="1763"/>
      <c r="B48" s="1185" t="s">
        <v>24</v>
      </c>
      <c r="C48" s="1186">
        <v>1539</v>
      </c>
      <c r="D48" s="1186">
        <v>831</v>
      </c>
      <c r="E48" s="1186">
        <v>778</v>
      </c>
      <c r="F48" s="1186">
        <v>666</v>
      </c>
      <c r="G48" s="1186">
        <v>521</v>
      </c>
      <c r="H48" s="1187">
        <f>+C9</f>
        <v>666</v>
      </c>
    </row>
    <row r="49" spans="1:8" s="218" customFormat="1" ht="24" customHeight="1">
      <c r="A49" s="1763"/>
      <c r="B49" s="1179" t="s">
        <v>25</v>
      </c>
      <c r="C49" s="1180">
        <f t="shared" ref="C49:H49" si="2">SUM(C47:C48)</f>
        <v>4545</v>
      </c>
      <c r="D49" s="1180">
        <f t="shared" si="2"/>
        <v>3678</v>
      </c>
      <c r="E49" s="1180">
        <f t="shared" si="2"/>
        <v>3179</v>
      </c>
      <c r="F49" s="1180">
        <f t="shared" si="2"/>
        <v>3478</v>
      </c>
      <c r="G49" s="1180">
        <f t="shared" si="2"/>
        <v>3426</v>
      </c>
      <c r="H49" s="1181">
        <f t="shared" si="2"/>
        <v>3478</v>
      </c>
    </row>
    <row r="50" spans="1:8" s="218" customFormat="1" ht="24" customHeight="1">
      <c r="A50" s="1764"/>
      <c r="B50" s="1188" t="s">
        <v>316</v>
      </c>
      <c r="C50" s="1189">
        <v>-0.11610268378063016</v>
      </c>
      <c r="D50" s="1189">
        <f>+D49*1/C49-1</f>
        <v>-0.19075907590759078</v>
      </c>
      <c r="E50" s="1189">
        <f>+E49*1/D49-1</f>
        <v>-0.13567156063077757</v>
      </c>
      <c r="F50" s="1189">
        <f>+F49*1/E49-1</f>
        <v>9.4054734193142586E-2</v>
      </c>
      <c r="G50" s="1189">
        <f>+G49*1/F49-1</f>
        <v>-1.4951121334100037E-2</v>
      </c>
      <c r="H50" s="1190">
        <f>+H49*1/G49-1</f>
        <v>1.5178050204319948E-2</v>
      </c>
    </row>
    <row r="51" spans="1:8" s="218" customFormat="1" ht="24" customHeight="1">
      <c r="A51" s="1751" t="s">
        <v>659</v>
      </c>
      <c r="B51" s="1752"/>
      <c r="C51" s="1191">
        <f>+C45</f>
        <v>173485</v>
      </c>
      <c r="D51" s="1191">
        <f>+D45</f>
        <v>175160</v>
      </c>
      <c r="E51" s="1191">
        <f>+E45</f>
        <v>181144</v>
      </c>
      <c r="F51" s="1191">
        <f>+F45</f>
        <v>188423</v>
      </c>
      <c r="G51" s="1192">
        <f>+G45</f>
        <v>169984</v>
      </c>
      <c r="H51" s="1193">
        <f>+H45+H49</f>
        <v>175496</v>
      </c>
    </row>
    <row r="52" spans="1:8" s="218" customFormat="1" ht="29.25" customHeight="1" thickBot="1">
      <c r="A52" s="1753" t="s">
        <v>660</v>
      </c>
      <c r="B52" s="1754"/>
      <c r="C52" s="1194">
        <v>3.5539691161635689E-2</v>
      </c>
      <c r="D52" s="1194">
        <f>+D51*1/C51-1</f>
        <v>9.6550134017350242E-3</v>
      </c>
      <c r="E52" s="1194">
        <f>+E51*1/D51-1</f>
        <v>3.416305092486871E-2</v>
      </c>
      <c r="F52" s="1194">
        <f>+F51*1/E51-1</f>
        <v>4.0183500419555651E-2</v>
      </c>
      <c r="G52" s="1194">
        <f>+G51*1/F51-1</f>
        <v>-9.7859603127006811E-2</v>
      </c>
      <c r="H52" s="1195">
        <f>+H51*1/G51-1</f>
        <v>3.2426581325301296E-2</v>
      </c>
    </row>
    <row r="55" spans="1:8" ht="15">
      <c r="D55" s="691"/>
    </row>
    <row r="56" spans="1:8" ht="15">
      <c r="D56" s="691"/>
      <c r="F56" s="692"/>
    </row>
    <row r="57" spans="1:8">
      <c r="F57" s="693"/>
    </row>
    <row r="153" spans="7:23" ht="15">
      <c r="G153" s="114">
        <f>SUM(G10:G152)</f>
        <v>2766438.4559963383</v>
      </c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</row>
  </sheetData>
  <mergeCells count="17">
    <mergeCell ref="A51:B51"/>
    <mergeCell ref="A52:B52"/>
    <mergeCell ref="D19:G19"/>
    <mergeCell ref="C33:C34"/>
    <mergeCell ref="B40:D40"/>
    <mergeCell ref="A42:A46"/>
    <mergeCell ref="A47:A50"/>
    <mergeCell ref="A4:A7"/>
    <mergeCell ref="A8:A10"/>
    <mergeCell ref="A11:B11"/>
    <mergeCell ref="A2:A3"/>
    <mergeCell ref="C19:C20"/>
    <mergeCell ref="B1:E1"/>
    <mergeCell ref="D2:E2"/>
    <mergeCell ref="B2:B3"/>
    <mergeCell ref="C2:C3"/>
    <mergeCell ref="C17:G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2:Q84"/>
  <sheetViews>
    <sheetView showGridLines="0" zoomScale="80" zoomScaleNormal="80" workbookViewId="0">
      <selection activeCell="J43" sqref="J43"/>
    </sheetView>
  </sheetViews>
  <sheetFormatPr baseColWidth="10" defaultRowHeight="15"/>
  <cols>
    <col min="1" max="1" width="15.42578125" customWidth="1"/>
    <col min="2" max="6" width="16.5703125" customWidth="1"/>
    <col min="7" max="7" width="18.42578125" customWidth="1"/>
    <col min="8" max="8" width="15.85546875" customWidth="1"/>
    <col min="13" max="13" width="12.28515625" customWidth="1"/>
  </cols>
  <sheetData>
    <row r="2" spans="1:15" s="218" customFormat="1">
      <c r="A2" s="1739" t="s">
        <v>792</v>
      </c>
      <c r="B2" s="1739"/>
      <c r="C2" s="1739"/>
      <c r="D2" s="1739"/>
      <c r="E2" s="1739"/>
      <c r="F2" s="1739"/>
      <c r="G2" s="1739"/>
      <c r="H2" s="1739"/>
      <c r="I2" s="1739"/>
      <c r="J2" s="1739"/>
      <c r="K2" s="1739"/>
      <c r="L2" s="1739"/>
      <c r="M2" s="1739"/>
    </row>
    <row r="3" spans="1:15" s="218" customFormat="1" thickBot="1">
      <c r="C3" s="754"/>
      <c r="E3" s="608"/>
      <c r="F3" s="621"/>
    </row>
    <row r="4" spans="1:15" s="218" customFormat="1" ht="33" customHeight="1">
      <c r="A4" s="1765" t="s">
        <v>598</v>
      </c>
      <c r="B4" s="1767" t="s">
        <v>415</v>
      </c>
      <c r="C4" s="1767"/>
      <c r="D4" s="1767"/>
      <c r="E4" s="1767" t="s">
        <v>23</v>
      </c>
      <c r="F4" s="1767"/>
      <c r="G4" s="1767"/>
      <c r="H4" s="1767" t="s">
        <v>131</v>
      </c>
      <c r="I4" s="1767"/>
      <c r="J4" s="1767"/>
      <c r="K4" s="1767" t="s">
        <v>599</v>
      </c>
      <c r="L4" s="1767"/>
      <c r="M4" s="1768"/>
    </row>
    <row r="5" spans="1:15" s="218" customFormat="1" ht="20.25" customHeight="1" thickBot="1">
      <c r="A5" s="1766"/>
      <c r="B5" s="766" t="s">
        <v>44</v>
      </c>
      <c r="C5" s="766" t="s">
        <v>45</v>
      </c>
      <c r="D5" s="766" t="s">
        <v>6</v>
      </c>
      <c r="E5" s="766" t="s">
        <v>44</v>
      </c>
      <c r="F5" s="766" t="s">
        <v>45</v>
      </c>
      <c r="G5" s="766" t="s">
        <v>6</v>
      </c>
      <c r="H5" s="766" t="s">
        <v>44</v>
      </c>
      <c r="I5" s="766" t="s">
        <v>45</v>
      </c>
      <c r="J5" s="766" t="s">
        <v>6</v>
      </c>
      <c r="K5" s="766" t="s">
        <v>44</v>
      </c>
      <c r="L5" s="766" t="s">
        <v>45</v>
      </c>
      <c r="M5" s="767" t="s">
        <v>6</v>
      </c>
    </row>
    <row r="6" spans="1:15" s="218" customFormat="1" ht="18" customHeight="1">
      <c r="A6" s="768" t="s">
        <v>2</v>
      </c>
      <c r="B6" s="769"/>
      <c r="C6" s="769"/>
      <c r="D6" s="769">
        <f t="shared" ref="D6:D11" si="0">SUM(B6:C6)</f>
        <v>0</v>
      </c>
      <c r="E6" s="770"/>
      <c r="F6" s="770"/>
      <c r="G6" s="769">
        <f t="shared" ref="G6:G13" si="1">SUM(E6:F6)</f>
        <v>0</v>
      </c>
      <c r="H6" s="769"/>
      <c r="I6" s="769"/>
      <c r="J6" s="769">
        <f t="shared" ref="J6:J13" si="2">SUM(H6:I6)</f>
        <v>0</v>
      </c>
      <c r="K6" s="769">
        <f>+B6+E6+H6</f>
        <v>0</v>
      </c>
      <c r="L6" s="769">
        <f>+C6+F6+I6</f>
        <v>0</v>
      </c>
      <c r="M6" s="771">
        <f t="shared" ref="M6:M11" si="3">SUM(K6:L6)</f>
        <v>0</v>
      </c>
      <c r="O6" s="772" t="e">
        <f t="shared" ref="O6:O12" si="4">+M6/$M$11</f>
        <v>#DIV/0!</v>
      </c>
    </row>
    <row r="7" spans="1:15" s="218" customFormat="1" ht="18" customHeight="1">
      <c r="A7" s="131" t="s">
        <v>3</v>
      </c>
      <c r="B7" s="773"/>
      <c r="C7" s="773"/>
      <c r="D7" s="773">
        <f t="shared" si="0"/>
        <v>0</v>
      </c>
      <c r="E7" s="774"/>
      <c r="F7" s="774"/>
      <c r="G7" s="773">
        <f t="shared" si="1"/>
        <v>0</v>
      </c>
      <c r="H7" s="773"/>
      <c r="I7" s="773"/>
      <c r="J7" s="773">
        <f t="shared" si="2"/>
        <v>0</v>
      </c>
      <c r="K7" s="773">
        <f t="shared" ref="K7:L11" si="5">+B7+E7+H7</f>
        <v>0</v>
      </c>
      <c r="L7" s="773">
        <f t="shared" si="5"/>
        <v>0</v>
      </c>
      <c r="M7" s="775">
        <f t="shared" si="3"/>
        <v>0</v>
      </c>
      <c r="O7" s="772" t="e">
        <f t="shared" si="4"/>
        <v>#DIV/0!</v>
      </c>
    </row>
    <row r="8" spans="1:15" s="218" customFormat="1" ht="18" customHeight="1">
      <c r="A8" s="776" t="s">
        <v>4</v>
      </c>
      <c r="B8" s="777"/>
      <c r="C8" s="777"/>
      <c r="D8" s="777">
        <f t="shared" si="0"/>
        <v>0</v>
      </c>
      <c r="E8" s="778"/>
      <c r="F8" s="778"/>
      <c r="G8" s="777">
        <f t="shared" si="1"/>
        <v>0</v>
      </c>
      <c r="H8" s="777"/>
      <c r="I8" s="777"/>
      <c r="J8" s="777">
        <f t="shared" si="2"/>
        <v>0</v>
      </c>
      <c r="K8" s="777">
        <f t="shared" si="5"/>
        <v>0</v>
      </c>
      <c r="L8" s="777">
        <f t="shared" si="5"/>
        <v>0</v>
      </c>
      <c r="M8" s="779">
        <f t="shared" si="3"/>
        <v>0</v>
      </c>
      <c r="O8" s="772" t="e">
        <f t="shared" si="4"/>
        <v>#DIV/0!</v>
      </c>
    </row>
    <row r="9" spans="1:15" s="218" customFormat="1" ht="18" customHeight="1">
      <c r="A9" s="131" t="s">
        <v>10</v>
      </c>
      <c r="B9" s="773"/>
      <c r="C9" s="773"/>
      <c r="D9" s="773">
        <f t="shared" si="0"/>
        <v>0</v>
      </c>
      <c r="E9" s="774"/>
      <c r="F9" s="774"/>
      <c r="G9" s="773">
        <f t="shared" si="1"/>
        <v>0</v>
      </c>
      <c r="H9" s="773"/>
      <c r="I9" s="773"/>
      <c r="J9" s="773">
        <f t="shared" si="2"/>
        <v>0</v>
      </c>
      <c r="K9" s="773">
        <f t="shared" si="5"/>
        <v>0</v>
      </c>
      <c r="L9" s="773">
        <f t="shared" si="5"/>
        <v>0</v>
      </c>
      <c r="M9" s="775">
        <f t="shared" si="3"/>
        <v>0</v>
      </c>
      <c r="O9" s="772" t="e">
        <f t="shared" si="4"/>
        <v>#DIV/0!</v>
      </c>
    </row>
    <row r="10" spans="1:15" s="218" customFormat="1" ht="18" customHeight="1">
      <c r="A10" s="776" t="s">
        <v>5</v>
      </c>
      <c r="B10" s="777"/>
      <c r="C10" s="777"/>
      <c r="D10" s="777">
        <f t="shared" si="0"/>
        <v>0</v>
      </c>
      <c r="E10" s="778"/>
      <c r="F10" s="778"/>
      <c r="G10" s="777">
        <f t="shared" si="1"/>
        <v>0</v>
      </c>
      <c r="H10" s="777"/>
      <c r="I10" s="777"/>
      <c r="J10" s="777">
        <f t="shared" si="2"/>
        <v>0</v>
      </c>
      <c r="K10" s="777">
        <f t="shared" si="5"/>
        <v>0</v>
      </c>
      <c r="L10" s="777">
        <f t="shared" si="5"/>
        <v>0</v>
      </c>
      <c r="M10" s="779">
        <f t="shared" si="3"/>
        <v>0</v>
      </c>
      <c r="O10" s="772" t="e">
        <f t="shared" si="4"/>
        <v>#DIV/0!</v>
      </c>
    </row>
    <row r="11" spans="1:15" s="218" customFormat="1" ht="18" customHeight="1" thickBot="1">
      <c r="A11" s="780" t="s">
        <v>11</v>
      </c>
      <c r="B11" s="773"/>
      <c r="C11" s="773"/>
      <c r="D11" s="781">
        <f t="shared" si="0"/>
        <v>0</v>
      </c>
      <c r="E11" s="782"/>
      <c r="F11" s="782"/>
      <c r="G11" s="781">
        <f t="shared" si="1"/>
        <v>0</v>
      </c>
      <c r="H11" s="781"/>
      <c r="I11" s="781"/>
      <c r="J11" s="781">
        <f t="shared" si="2"/>
        <v>0</v>
      </c>
      <c r="K11" s="781">
        <f t="shared" si="5"/>
        <v>0</v>
      </c>
      <c r="L11" s="781">
        <f t="shared" si="5"/>
        <v>0</v>
      </c>
      <c r="M11" s="783">
        <f t="shared" si="3"/>
        <v>0</v>
      </c>
      <c r="O11" s="772" t="e">
        <f t="shared" si="4"/>
        <v>#DIV/0!</v>
      </c>
    </row>
    <row r="12" spans="1:15" s="218" customFormat="1" ht="21" customHeight="1">
      <c r="A12" s="784" t="s">
        <v>6</v>
      </c>
      <c r="B12" s="785">
        <f>SUM(B6:B11)</f>
        <v>0</v>
      </c>
      <c r="C12" s="785">
        <f t="shared" ref="C12:M12" si="6">SUM(C6:C11)</f>
        <v>0</v>
      </c>
      <c r="D12" s="785">
        <f t="shared" si="6"/>
        <v>0</v>
      </c>
      <c r="E12" s="785">
        <f>SUM(E6:E11)</f>
        <v>0</v>
      </c>
      <c r="F12" s="785">
        <f t="shared" si="6"/>
        <v>0</v>
      </c>
      <c r="G12" s="785">
        <f t="shared" si="6"/>
        <v>0</v>
      </c>
      <c r="H12" s="785">
        <f t="shared" si="6"/>
        <v>0</v>
      </c>
      <c r="I12" s="785">
        <f t="shared" si="6"/>
        <v>0</v>
      </c>
      <c r="J12" s="785">
        <f t="shared" si="6"/>
        <v>0</v>
      </c>
      <c r="K12" s="785">
        <f t="shared" si="6"/>
        <v>0</v>
      </c>
      <c r="L12" s="785">
        <f t="shared" si="6"/>
        <v>0</v>
      </c>
      <c r="M12" s="786">
        <f t="shared" si="6"/>
        <v>0</v>
      </c>
      <c r="O12" s="772" t="e">
        <f t="shared" si="4"/>
        <v>#DIV/0!</v>
      </c>
    </row>
    <row r="13" spans="1:15" s="218" customFormat="1" ht="21" customHeight="1">
      <c r="A13" s="1781" t="s">
        <v>600</v>
      </c>
      <c r="B13" s="787" t="e">
        <f>+B12/$D$11</f>
        <v>#DIV/0!</v>
      </c>
      <c r="C13" s="787" t="e">
        <f>+C12/$D$11</f>
        <v>#DIV/0!</v>
      </c>
      <c r="D13" s="787" t="e">
        <f>SUM(B13:C13)</f>
        <v>#DIV/0!</v>
      </c>
      <c r="E13" s="787" t="e">
        <f>+E12/$G$11</f>
        <v>#DIV/0!</v>
      </c>
      <c r="F13" s="787" t="e">
        <f>+F12/$G$11</f>
        <v>#DIV/0!</v>
      </c>
      <c r="G13" s="787" t="e">
        <f t="shared" si="1"/>
        <v>#DIV/0!</v>
      </c>
      <c r="H13" s="787" t="e">
        <f>+H12/$J$11</f>
        <v>#DIV/0!</v>
      </c>
      <c r="I13" s="787" t="e">
        <f>+I12/$J$11</f>
        <v>#DIV/0!</v>
      </c>
      <c r="J13" s="787" t="e">
        <f t="shared" si="2"/>
        <v>#DIV/0!</v>
      </c>
      <c r="K13" s="787" t="e">
        <f>+K12/$M$11</f>
        <v>#DIV/0!</v>
      </c>
      <c r="L13" s="787" t="e">
        <f>+L12/$M$11</f>
        <v>#DIV/0!</v>
      </c>
      <c r="M13" s="788" t="e">
        <f>SUM(K13:L13)</f>
        <v>#DIV/0!</v>
      </c>
    </row>
    <row r="14" spans="1:15" s="218" customFormat="1" ht="21" customHeight="1" thickBot="1">
      <c r="A14" s="1782"/>
      <c r="B14" s="1769" t="e">
        <f>+D12/$M$11</f>
        <v>#DIV/0!</v>
      </c>
      <c r="C14" s="1770"/>
      <c r="D14" s="1771"/>
      <c r="E14" s="1769" t="e">
        <f>+G12/$M$11</f>
        <v>#DIV/0!</v>
      </c>
      <c r="F14" s="1770"/>
      <c r="G14" s="1771"/>
      <c r="H14" s="1769" t="e">
        <f>+J12/$M$11</f>
        <v>#DIV/0!</v>
      </c>
      <c r="I14" s="1770"/>
      <c r="J14" s="1771"/>
      <c r="K14" s="1769" t="e">
        <f>SUM(B14:J14)</f>
        <v>#DIV/0!</v>
      </c>
      <c r="L14" s="1770"/>
      <c r="M14" s="1772"/>
    </row>
    <row r="18" spans="1:17" s="218" customFormat="1">
      <c r="A18" s="1773" t="s">
        <v>757</v>
      </c>
      <c r="B18" s="1773"/>
      <c r="C18" s="1773"/>
      <c r="D18" s="1773"/>
      <c r="E18" s="1773"/>
      <c r="F18" s="1773"/>
      <c r="G18" s="1773"/>
    </row>
    <row r="19" spans="1:17" s="218" customFormat="1" thickBot="1">
      <c r="A19" s="28"/>
      <c r="C19" s="14"/>
    </row>
    <row r="20" spans="1:17" s="218" customFormat="1" ht="34.5" customHeight="1">
      <c r="A20" s="1774" t="s">
        <v>70</v>
      </c>
      <c r="B20" s="1776" t="s">
        <v>71</v>
      </c>
      <c r="C20" s="1776" t="s">
        <v>592</v>
      </c>
      <c r="D20" s="1778" t="s">
        <v>601</v>
      </c>
      <c r="E20" s="1778"/>
      <c r="F20" s="1776" t="s">
        <v>73</v>
      </c>
      <c r="G20" s="1779" t="s">
        <v>602</v>
      </c>
    </row>
    <row r="21" spans="1:17" s="218" customFormat="1" ht="34.5" customHeight="1">
      <c r="A21" s="1775"/>
      <c r="B21" s="1777"/>
      <c r="C21" s="1777"/>
      <c r="D21" s="725" t="s">
        <v>72</v>
      </c>
      <c r="E21" s="725" t="s">
        <v>91</v>
      </c>
      <c r="F21" s="1777"/>
      <c r="G21" s="1780"/>
    </row>
    <row r="22" spans="1:17" s="218" customFormat="1" ht="16.5" hidden="1" customHeight="1">
      <c r="A22" s="729">
        <v>2011</v>
      </c>
      <c r="B22" s="730">
        <v>46044601</v>
      </c>
      <c r="C22" s="730">
        <v>100451</v>
      </c>
      <c r="D22" s="730" t="e">
        <f>+C22-#REF!</f>
        <v>#REF!</v>
      </c>
      <c r="E22" s="734" t="e">
        <f>+C22*1/#REF!-1</f>
        <v>#REF!</v>
      </c>
      <c r="F22" s="734">
        <f>+C22/B22</f>
        <v>2.1816021383267064E-3</v>
      </c>
      <c r="G22" s="735">
        <f t="shared" ref="G22:G29" si="7">+C22*100000/B22</f>
        <v>218.16021383267062</v>
      </c>
    </row>
    <row r="23" spans="1:17" s="218" customFormat="1" ht="16.5" hidden="1" customHeight="1">
      <c r="A23" s="727">
        <v>2012</v>
      </c>
      <c r="B23" s="728">
        <v>46581823</v>
      </c>
      <c r="C23" s="728">
        <f>113884+22993+3852</f>
        <v>140729</v>
      </c>
      <c r="D23" s="737">
        <f t="shared" ref="D23:D29" si="8">+C23-C22</f>
        <v>40278</v>
      </c>
      <c r="E23" s="789">
        <f t="shared" ref="E23:E29" si="9">+C23*1/C22-1</f>
        <v>0.40097161800280734</v>
      </c>
      <c r="F23" s="732">
        <f>+C23/B23</f>
        <v>3.0211140512899203E-3</v>
      </c>
      <c r="G23" s="733">
        <f t="shared" si="7"/>
        <v>302.11140512899203</v>
      </c>
    </row>
    <row r="24" spans="1:17" s="218" customFormat="1" ht="17.25" hidden="1" customHeight="1">
      <c r="A24" s="738">
        <v>2013</v>
      </c>
      <c r="B24" s="11">
        <v>47121089</v>
      </c>
      <c r="C24" s="310">
        <f>120032+27275+4061</f>
        <v>151368</v>
      </c>
      <c r="D24" s="739">
        <f t="shared" si="8"/>
        <v>10639</v>
      </c>
      <c r="E24" s="740">
        <f t="shared" si="9"/>
        <v>7.5599201301792762E-2</v>
      </c>
      <c r="F24" s="741">
        <f>+C24/B24</f>
        <v>3.212319647366384E-3</v>
      </c>
      <c r="G24" s="742">
        <f t="shared" si="7"/>
        <v>321.23196473663842</v>
      </c>
    </row>
    <row r="25" spans="1:17" s="218" customFormat="1" ht="17.25" hidden="1" customHeight="1">
      <c r="A25" s="743">
        <v>2014</v>
      </c>
      <c r="B25" s="132">
        <v>47661787</v>
      </c>
      <c r="C25" s="744">
        <f>113623+36086+4289</f>
        <v>153998</v>
      </c>
      <c r="D25" s="745">
        <f t="shared" si="8"/>
        <v>2630</v>
      </c>
      <c r="E25" s="746">
        <f t="shared" si="9"/>
        <v>1.737487447809305E-2</v>
      </c>
      <c r="F25" s="747">
        <f t="shared" ref="F25:F32" si="10">+C25/B25</f>
        <v>3.2310580381721735E-3</v>
      </c>
      <c r="G25" s="748">
        <f t="shared" si="7"/>
        <v>323.10580381721735</v>
      </c>
    </row>
    <row r="26" spans="1:17" s="218" customFormat="1" ht="17.25" customHeight="1">
      <c r="A26" s="738">
        <v>2015</v>
      </c>
      <c r="B26" s="11">
        <v>48401701</v>
      </c>
      <c r="C26" s="310">
        <f>120444+45072+4146</f>
        <v>169662</v>
      </c>
      <c r="D26" s="739">
        <f t="shared" si="8"/>
        <v>15664</v>
      </c>
      <c r="E26" s="740">
        <f t="shared" si="9"/>
        <v>0.10171560669619084</v>
      </c>
      <c r="F26" s="741">
        <f>+C26/B26</f>
        <v>3.5052900310259755E-3</v>
      </c>
      <c r="G26" s="742">
        <f t="shared" si="7"/>
        <v>350.52900310259758</v>
      </c>
    </row>
    <row r="27" spans="1:17" s="218" customFormat="1" ht="17.25" customHeight="1">
      <c r="A27" s="743">
        <v>2016</v>
      </c>
      <c r="B27" s="132">
        <v>48747708</v>
      </c>
      <c r="C27" s="744">
        <v>175336</v>
      </c>
      <c r="D27" s="745">
        <f t="shared" si="8"/>
        <v>5674</v>
      </c>
      <c r="E27" s="746">
        <f t="shared" si="9"/>
        <v>3.3442963067746412E-2</v>
      </c>
      <c r="F27" s="747">
        <f t="shared" si="10"/>
        <v>3.5968050026064817E-3</v>
      </c>
      <c r="G27" s="748">
        <f t="shared" si="7"/>
        <v>359.68050026064816</v>
      </c>
      <c r="K27" s="753"/>
    </row>
    <row r="28" spans="1:17" s="218" customFormat="1" ht="17.25" customHeight="1">
      <c r="A28" s="738">
        <v>2017</v>
      </c>
      <c r="B28" s="11">
        <v>49582835</v>
      </c>
      <c r="C28" s="310">
        <v>178397</v>
      </c>
      <c r="D28" s="739">
        <f t="shared" si="8"/>
        <v>3061</v>
      </c>
      <c r="E28" s="740">
        <f t="shared" si="9"/>
        <v>1.7457909385408588E-2</v>
      </c>
      <c r="F28" s="741">
        <f t="shared" si="10"/>
        <v>3.5979588500738209E-3</v>
      </c>
      <c r="G28" s="742">
        <f t="shared" si="7"/>
        <v>359.79588500738208</v>
      </c>
      <c r="K28" s="608"/>
    </row>
    <row r="29" spans="1:17" s="218" customFormat="1" ht="17.25" customHeight="1">
      <c r="A29" s="743">
        <v>2018</v>
      </c>
      <c r="B29" s="132">
        <v>48258494</v>
      </c>
      <c r="C29" s="744">
        <v>184371</v>
      </c>
      <c r="D29" s="745">
        <f t="shared" si="8"/>
        <v>5974</v>
      </c>
      <c r="E29" s="746">
        <f t="shared" si="9"/>
        <v>3.3487110209252435E-2</v>
      </c>
      <c r="F29" s="747">
        <f t="shared" si="10"/>
        <v>3.8204880575013387E-3</v>
      </c>
      <c r="G29" s="748">
        <f t="shared" si="7"/>
        <v>382.04880575013385</v>
      </c>
    </row>
    <row r="30" spans="1:17" s="218" customFormat="1" ht="17.25" customHeight="1">
      <c r="A30" s="738">
        <v>2019</v>
      </c>
      <c r="B30" s="11">
        <v>49395678</v>
      </c>
      <c r="C30" s="310">
        <v>191170</v>
      </c>
      <c r="D30" s="739">
        <f>+C30-C29</f>
        <v>6799</v>
      </c>
      <c r="E30" s="740">
        <f>+C30*1/C29-1</f>
        <v>3.6876732240970655E-2</v>
      </c>
      <c r="F30" s="741">
        <f t="shared" si="10"/>
        <v>3.8701766579659056E-3</v>
      </c>
      <c r="G30" s="742">
        <f>+C30*100000/B30</f>
        <v>387.01766579659056</v>
      </c>
      <c r="K30" s="753"/>
      <c r="M30" s="753"/>
    </row>
    <row r="31" spans="1:17" s="218" customFormat="1" ht="17.25" customHeight="1">
      <c r="A31" s="743">
        <v>2020</v>
      </c>
      <c r="B31" s="132">
        <v>50372424</v>
      </c>
      <c r="C31" s="744">
        <v>172905</v>
      </c>
      <c r="D31" s="1090">
        <f>+C31-C30</f>
        <v>-18265</v>
      </c>
      <c r="E31" s="746">
        <f>+C31*1/C30-1</f>
        <v>-9.5543233770989167E-2</v>
      </c>
      <c r="F31" s="747">
        <f t="shared" si="10"/>
        <v>3.432532847734308E-3</v>
      </c>
      <c r="G31" s="748">
        <f>+C31*100000/B31</f>
        <v>343.25328477343078</v>
      </c>
      <c r="H31" s="621"/>
      <c r="I31" s="621"/>
      <c r="K31" s="621"/>
    </row>
    <row r="32" spans="1:17" s="218" customFormat="1" ht="17.25" customHeight="1" thickBot="1">
      <c r="A32" s="1080">
        <v>2021</v>
      </c>
      <c r="B32" s="1081">
        <v>51049498</v>
      </c>
      <c r="C32" s="1082">
        <f>+'TABLA POBLACION'!H45</f>
        <v>172018</v>
      </c>
      <c r="D32" s="1083">
        <f>+C32-C31</f>
        <v>-887</v>
      </c>
      <c r="E32" s="1084">
        <f>+C32*1/C31-1</f>
        <v>-5.129984673664767E-3</v>
      </c>
      <c r="F32" s="1085">
        <f t="shared" si="10"/>
        <v>3.3696315681693871E-3</v>
      </c>
      <c r="G32" s="1086">
        <f>+C32*100000/B32</f>
        <v>336.96315681693875</v>
      </c>
      <c r="H32" s="621"/>
      <c r="L32" s="621"/>
      <c r="M32" s="103"/>
      <c r="N32" s="749"/>
      <c r="O32" s="103"/>
      <c r="Q32" s="621"/>
    </row>
    <row r="33" spans="1:11" s="218" customFormat="1" ht="14.25">
      <c r="A33" s="29" t="s">
        <v>755</v>
      </c>
      <c r="F33" s="608"/>
    </row>
    <row r="34" spans="1:11" s="690" customFormat="1">
      <c r="A34" s="790" t="s">
        <v>603</v>
      </c>
    </row>
    <row r="35" spans="1:11" s="690" customFormat="1">
      <c r="A35" s="690" t="s">
        <v>604</v>
      </c>
    </row>
    <row r="36" spans="1:11" s="218" customFormat="1">
      <c r="A36" s="791" t="s">
        <v>605</v>
      </c>
      <c r="C36" s="754"/>
      <c r="E36" s="754"/>
      <c r="G36" s="621"/>
    </row>
    <row r="37" spans="1:11" s="218" customFormat="1" ht="14.25">
      <c r="K37" s="753"/>
    </row>
    <row r="38" spans="1:11" s="218" customFormat="1" ht="26.25" customHeight="1">
      <c r="A38" s="1783" t="s">
        <v>754</v>
      </c>
      <c r="B38" s="1783"/>
      <c r="C38" s="1783"/>
      <c r="D38" s="1783"/>
      <c r="E38" s="1783"/>
      <c r="F38" s="1783"/>
      <c r="G38" s="1783"/>
    </row>
    <row r="39" spans="1:11" s="218" customFormat="1" thickBot="1">
      <c r="A39" s="28"/>
      <c r="C39" s="14"/>
    </row>
    <row r="40" spans="1:11" s="218" customFormat="1" ht="32.25" customHeight="1">
      <c r="A40" s="1784" t="s">
        <v>70</v>
      </c>
      <c r="B40" s="1778" t="s">
        <v>71</v>
      </c>
      <c r="C40" s="1778" t="s">
        <v>587</v>
      </c>
      <c r="D40" s="1778" t="s">
        <v>588</v>
      </c>
      <c r="E40" s="1778"/>
      <c r="F40" s="1778" t="s">
        <v>73</v>
      </c>
      <c r="G40" s="1787" t="s">
        <v>589</v>
      </c>
    </row>
    <row r="41" spans="1:11" s="218" customFormat="1" ht="24" customHeight="1">
      <c r="A41" s="1785"/>
      <c r="B41" s="1786"/>
      <c r="C41" s="1786"/>
      <c r="D41" s="725" t="s">
        <v>72</v>
      </c>
      <c r="E41" s="725" t="s">
        <v>91</v>
      </c>
      <c r="F41" s="1786"/>
      <c r="G41" s="1788"/>
    </row>
    <row r="42" spans="1:11" s="218" customFormat="1" ht="15" hidden="1" customHeight="1">
      <c r="A42" s="727">
        <v>2004</v>
      </c>
      <c r="B42" s="728">
        <v>42368489</v>
      </c>
      <c r="C42" s="728">
        <v>68020</v>
      </c>
      <c r="D42" s="728" t="e">
        <f>+C42-#REF!</f>
        <v>#REF!</v>
      </c>
      <c r="E42" s="30" t="e">
        <f>+C42*1/#REF!-1</f>
        <v>#REF!</v>
      </c>
      <c r="G42" s="31">
        <f t="shared" ref="G42:G56" si="11">+C42*100000/B42</f>
        <v>160.54384191043491</v>
      </c>
    </row>
    <row r="43" spans="1:11" s="218" customFormat="1" ht="16.5" hidden="1" customHeight="1">
      <c r="A43" s="729">
        <v>2005</v>
      </c>
      <c r="B43" s="730">
        <v>42888592</v>
      </c>
      <c r="C43" s="730">
        <v>66829</v>
      </c>
      <c r="D43" s="730">
        <f t="shared" ref="D43:D56" si="12">+C43-C42</f>
        <v>-1191</v>
      </c>
      <c r="E43" s="32">
        <f>+C43*1/C42-1</f>
        <v>-1.7509556012937355E-2</v>
      </c>
      <c r="F43" s="32">
        <f>+C43/B43</f>
        <v>1.558199905466703E-3</v>
      </c>
      <c r="G43" s="33">
        <f t="shared" si="11"/>
        <v>155.81999054667031</v>
      </c>
    </row>
    <row r="44" spans="1:11" s="218" customFormat="1" ht="16.5" hidden="1" customHeight="1">
      <c r="A44" s="727">
        <v>2006</v>
      </c>
      <c r="B44" s="728">
        <v>43405956</v>
      </c>
      <c r="C44" s="728">
        <v>60021</v>
      </c>
      <c r="D44" s="728">
        <f>+C44-C43</f>
        <v>-6808</v>
      </c>
      <c r="E44" s="30">
        <f>+C44*1/C43-1</f>
        <v>-0.10187194182166426</v>
      </c>
      <c r="F44" s="30">
        <f t="shared" ref="F44:F57" si="13">+C44/B44</f>
        <v>1.3827825840306339E-3</v>
      </c>
      <c r="G44" s="31">
        <f t="shared" si="11"/>
        <v>138.2782584030634</v>
      </c>
    </row>
    <row r="45" spans="1:11" s="218" customFormat="1" ht="16.5" hidden="1" customHeight="1">
      <c r="A45" s="729">
        <v>2007</v>
      </c>
      <c r="B45" s="730">
        <v>43926929</v>
      </c>
      <c r="C45" s="730">
        <v>63603</v>
      </c>
      <c r="D45" s="730">
        <f t="shared" si="12"/>
        <v>3582</v>
      </c>
      <c r="E45" s="32">
        <f t="shared" ref="E45:E55" si="14">+C45*1/C44-1</f>
        <v>5.9679112310691229E-2</v>
      </c>
      <c r="F45" s="32">
        <f t="shared" si="13"/>
        <v>1.4479273067325056E-3</v>
      </c>
      <c r="G45" s="33">
        <f t="shared" si="11"/>
        <v>144.79273067325056</v>
      </c>
    </row>
    <row r="46" spans="1:11" s="218" customFormat="1" ht="16.5" hidden="1" customHeight="1">
      <c r="A46" s="727">
        <v>2008</v>
      </c>
      <c r="B46" s="728">
        <v>44451147</v>
      </c>
      <c r="C46" s="728">
        <v>69979</v>
      </c>
      <c r="D46" s="728">
        <f t="shared" si="12"/>
        <v>6376</v>
      </c>
      <c r="E46" s="30">
        <f t="shared" si="14"/>
        <v>0.10024684370234116</v>
      </c>
      <c r="F46" s="30">
        <f t="shared" si="13"/>
        <v>1.5742900852479689E-3</v>
      </c>
      <c r="G46" s="31">
        <f t="shared" si="11"/>
        <v>157.4290085247969</v>
      </c>
      <c r="J46" s="621"/>
      <c r="K46" s="621"/>
    </row>
    <row r="47" spans="1:11" s="218" customFormat="1" ht="16.5" hidden="1" customHeight="1">
      <c r="A47" s="729">
        <v>2009</v>
      </c>
      <c r="B47" s="730">
        <v>44978832</v>
      </c>
      <c r="C47" s="730">
        <v>75992</v>
      </c>
      <c r="D47" s="730">
        <f t="shared" si="12"/>
        <v>6013</v>
      </c>
      <c r="E47" s="32">
        <f t="shared" si="14"/>
        <v>8.5925777733319997E-2</v>
      </c>
      <c r="F47" s="32">
        <f t="shared" si="13"/>
        <v>1.6895058546651455E-3</v>
      </c>
      <c r="G47" s="33">
        <f t="shared" si="11"/>
        <v>168.95058546651455</v>
      </c>
      <c r="J47" s="731"/>
      <c r="K47" s="731"/>
    </row>
    <row r="48" spans="1:11" s="218" customFormat="1" ht="16.5" hidden="1" customHeight="1">
      <c r="A48" s="727">
        <v>2010</v>
      </c>
      <c r="B48" s="728">
        <v>45509584</v>
      </c>
      <c r="C48" s="728">
        <v>84444</v>
      </c>
      <c r="D48" s="728">
        <f t="shared" si="12"/>
        <v>8452</v>
      </c>
      <c r="E48" s="732">
        <f>+C48*1/C47-1</f>
        <v>0.11122223391936004</v>
      </c>
      <c r="F48" s="732">
        <f t="shared" si="13"/>
        <v>1.8555212458105529E-3</v>
      </c>
      <c r="G48" s="733">
        <f t="shared" si="11"/>
        <v>185.55212458105527</v>
      </c>
    </row>
    <row r="49" spans="1:17" s="218" customFormat="1" ht="16.5" hidden="1" customHeight="1">
      <c r="A49" s="729">
        <v>2011</v>
      </c>
      <c r="B49" s="730">
        <v>46044601</v>
      </c>
      <c r="C49" s="730">
        <v>100451</v>
      </c>
      <c r="D49" s="730">
        <f t="shared" si="12"/>
        <v>16007</v>
      </c>
      <c r="E49" s="734">
        <f t="shared" si="14"/>
        <v>0.18955757661882422</v>
      </c>
      <c r="F49" s="734">
        <f t="shared" si="13"/>
        <v>2.1816021383267064E-3</v>
      </c>
      <c r="G49" s="735">
        <f t="shared" si="11"/>
        <v>218.16021383267062</v>
      </c>
      <c r="N49" s="736"/>
      <c r="O49" s="736"/>
      <c r="P49" s="736"/>
      <c r="Q49" s="736"/>
    </row>
    <row r="50" spans="1:17" s="218" customFormat="1" ht="16.5" hidden="1" customHeight="1">
      <c r="A50" s="727">
        <v>2012</v>
      </c>
      <c r="B50" s="728">
        <v>46581823</v>
      </c>
      <c r="C50" s="728">
        <v>113884</v>
      </c>
      <c r="D50" s="737">
        <f t="shared" si="12"/>
        <v>13433</v>
      </c>
      <c r="E50" s="732">
        <f t="shared" si="14"/>
        <v>0.13372689171835028</v>
      </c>
      <c r="F50" s="732">
        <f t="shared" si="13"/>
        <v>2.4448162966915227E-3</v>
      </c>
      <c r="G50" s="733">
        <f t="shared" si="11"/>
        <v>244.48162966915228</v>
      </c>
    </row>
    <row r="51" spans="1:17" s="218" customFormat="1" ht="17.25" hidden="1" customHeight="1">
      <c r="A51" s="738">
        <v>2013</v>
      </c>
      <c r="B51" s="11">
        <f>+B24</f>
        <v>47121089</v>
      </c>
      <c r="C51" s="310">
        <v>120032</v>
      </c>
      <c r="D51" s="739">
        <f>+C51-C50</f>
        <v>6148</v>
      </c>
      <c r="E51" s="740">
        <f t="shared" si="14"/>
        <v>5.3984756418812063E-2</v>
      </c>
      <c r="F51" s="741">
        <f t="shared" si="13"/>
        <v>2.5473095496583282E-3</v>
      </c>
      <c r="G51" s="742">
        <f t="shared" si="11"/>
        <v>254.73095496583281</v>
      </c>
      <c r="M51" s="1"/>
      <c r="Q51" s="621"/>
    </row>
    <row r="52" spans="1:17" s="218" customFormat="1" ht="7.5" hidden="1" customHeight="1">
      <c r="A52" s="743">
        <v>2014</v>
      </c>
      <c r="B52" s="132">
        <f>+B25</f>
        <v>47661787</v>
      </c>
      <c r="C52" s="744">
        <v>113623</v>
      </c>
      <c r="D52" s="745">
        <f t="shared" si="12"/>
        <v>-6409</v>
      </c>
      <c r="E52" s="746">
        <f t="shared" si="14"/>
        <v>-5.3394094908024492E-2</v>
      </c>
      <c r="F52" s="747">
        <f t="shared" si="13"/>
        <v>2.3839433464800637E-3</v>
      </c>
      <c r="G52" s="748">
        <f t="shared" si="11"/>
        <v>238.39433464800638</v>
      </c>
      <c r="L52" s="621"/>
      <c r="M52" s="103"/>
      <c r="N52" s="749"/>
      <c r="Q52" s="621"/>
    </row>
    <row r="53" spans="1:17" s="218" customFormat="1" ht="17.25" customHeight="1">
      <c r="A53" s="738">
        <v>2015</v>
      </c>
      <c r="B53" s="11">
        <v>48401701</v>
      </c>
      <c r="C53" s="310">
        <v>120444</v>
      </c>
      <c r="D53" s="739">
        <f t="shared" si="12"/>
        <v>6821</v>
      </c>
      <c r="E53" s="740">
        <f t="shared" si="14"/>
        <v>6.0031859746706218E-2</v>
      </c>
      <c r="F53" s="741">
        <f t="shared" si="13"/>
        <v>2.4884249419250782E-3</v>
      </c>
      <c r="G53" s="742">
        <f t="shared" si="11"/>
        <v>248.84249419250781</v>
      </c>
      <c r="L53" s="621"/>
      <c r="M53" s="103"/>
      <c r="N53" s="749"/>
      <c r="Q53" s="621"/>
    </row>
    <row r="54" spans="1:17" s="218" customFormat="1" ht="17.25" customHeight="1">
      <c r="A54" s="743">
        <v>2016</v>
      </c>
      <c r="B54" s="132">
        <v>48747708</v>
      </c>
      <c r="C54" s="744">
        <v>118532</v>
      </c>
      <c r="D54" s="745">
        <f t="shared" si="12"/>
        <v>-1912</v>
      </c>
      <c r="E54" s="746">
        <f t="shared" si="14"/>
        <v>-1.5874597323237372E-2</v>
      </c>
      <c r="F54" s="747">
        <f t="shared" si="13"/>
        <v>2.4315399608121064E-3</v>
      </c>
      <c r="G54" s="748">
        <f t="shared" si="11"/>
        <v>243.15399608121064</v>
      </c>
      <c r="L54" s="621"/>
      <c r="M54" s="103"/>
      <c r="N54" s="749"/>
      <c r="Q54" s="621"/>
    </row>
    <row r="55" spans="1:17" s="218" customFormat="1" ht="17.25" customHeight="1">
      <c r="A55" s="738">
        <v>2017</v>
      </c>
      <c r="B55" s="11">
        <v>49582835</v>
      </c>
      <c r="C55" s="310">
        <v>114750</v>
      </c>
      <c r="D55" s="739">
        <f t="shared" si="12"/>
        <v>-3782</v>
      </c>
      <c r="E55" s="740">
        <f t="shared" si="14"/>
        <v>-3.1906995579252806E-2</v>
      </c>
      <c r="F55" s="741">
        <f t="shared" si="13"/>
        <v>2.3143089740633024E-3</v>
      </c>
      <c r="G55" s="742">
        <f t="shared" si="11"/>
        <v>231.43089740633025</v>
      </c>
      <c r="L55" s="621"/>
      <c r="M55" s="103"/>
      <c r="N55" s="749"/>
      <c r="Q55" s="621"/>
    </row>
    <row r="56" spans="1:17" s="218" customFormat="1" ht="17.25" customHeight="1">
      <c r="A56" s="743">
        <v>2018</v>
      </c>
      <c r="B56" s="132">
        <v>48258494</v>
      </c>
      <c r="C56" s="744">
        <v>118513</v>
      </c>
      <c r="D56" s="745">
        <f t="shared" si="12"/>
        <v>3763</v>
      </c>
      <c r="E56" s="746">
        <f>+C56*1/C55-1</f>
        <v>3.2793028322440021E-2</v>
      </c>
      <c r="F56" s="747">
        <f t="shared" si="13"/>
        <v>2.4557956574442624E-3</v>
      </c>
      <c r="G56" s="748">
        <f t="shared" si="11"/>
        <v>245.57956574442625</v>
      </c>
      <c r="H56" s="621"/>
      <c r="L56" s="621"/>
      <c r="M56" s="103"/>
      <c r="N56" s="749"/>
      <c r="O56" s="103"/>
      <c r="Q56" s="621"/>
    </row>
    <row r="57" spans="1:17" s="218" customFormat="1" ht="17.25" customHeight="1">
      <c r="A57" s="738">
        <v>2019</v>
      </c>
      <c r="B57" s="11">
        <v>49395678</v>
      </c>
      <c r="C57" s="310">
        <v>123802</v>
      </c>
      <c r="D57" s="739">
        <f>+C57-C56</f>
        <v>5289</v>
      </c>
      <c r="E57" s="740">
        <f>+C57*1/C56-1</f>
        <v>4.4628015491971373E-2</v>
      </c>
      <c r="F57" s="741">
        <f t="shared" si="13"/>
        <v>2.5063326390620654E-3</v>
      </c>
      <c r="G57" s="742">
        <f>+C57*100000/B57</f>
        <v>250.63326390620654</v>
      </c>
      <c r="H57" s="621"/>
      <c r="L57" s="621"/>
      <c r="M57" s="103"/>
      <c r="N57" s="749"/>
      <c r="O57" s="103"/>
      <c r="Q57" s="621"/>
    </row>
    <row r="58" spans="1:17" s="218" customFormat="1" ht="17.25" customHeight="1">
      <c r="A58" s="743">
        <v>2020</v>
      </c>
      <c r="B58" s="132">
        <v>50372424</v>
      </c>
      <c r="C58" s="744">
        <v>96285</v>
      </c>
      <c r="D58" s="1090">
        <f>+C58-C57</f>
        <v>-27517</v>
      </c>
      <c r="E58" s="746">
        <f>+C58*1/C57-1</f>
        <v>-0.22226619925364699</v>
      </c>
      <c r="F58" s="747">
        <f>+C58/B58</f>
        <v>1.9114625097255593E-3</v>
      </c>
      <c r="G58" s="748">
        <f>+C58*100000/B58</f>
        <v>191.14625097255595</v>
      </c>
      <c r="H58" s="750"/>
      <c r="I58" s="621"/>
      <c r="J58" s="621"/>
      <c r="K58" s="621"/>
    </row>
    <row r="59" spans="1:17" s="218" customFormat="1" ht="17.25" customHeight="1" thickBot="1">
      <c r="A59" s="1080">
        <v>2021</v>
      </c>
      <c r="B59" s="1081">
        <v>51049498</v>
      </c>
      <c r="C59" s="1082">
        <f>+'TABLA POBLACION'!H42</f>
        <v>96913</v>
      </c>
      <c r="D59" s="1083">
        <f>+C59-C58</f>
        <v>628</v>
      </c>
      <c r="E59" s="1084">
        <f>+C59*1/C58-1</f>
        <v>6.5223035779196081E-3</v>
      </c>
      <c r="F59" s="1085">
        <f>+C59/B59</f>
        <v>1.8984123996674757E-3</v>
      </c>
      <c r="G59" s="1086">
        <f>+C59*100000/B59</f>
        <v>189.84123996674757</v>
      </c>
      <c r="H59" s="621"/>
      <c r="L59" s="621"/>
      <c r="M59" s="103"/>
      <c r="N59" s="749"/>
      <c r="O59" s="103"/>
      <c r="Q59" s="621"/>
    </row>
    <row r="60" spans="1:17" s="218" customFormat="1" ht="14.25">
      <c r="A60" s="1087" t="s">
        <v>756</v>
      </c>
      <c r="B60" s="1088"/>
      <c r="C60" s="1088"/>
      <c r="D60" s="1088"/>
      <c r="L60" s="621"/>
      <c r="M60" s="103"/>
      <c r="N60" s="749"/>
      <c r="O60" s="103"/>
      <c r="P60" s="621"/>
      <c r="Q60" s="621"/>
    </row>
    <row r="61" spans="1:17" s="218" customFormat="1" ht="14.25">
      <c r="A61" s="1791" t="s">
        <v>590</v>
      </c>
      <c r="B61" s="1791"/>
      <c r="C61" s="1791"/>
      <c r="D61" s="1089"/>
      <c r="E61" s="751"/>
      <c r="F61" s="751"/>
    </row>
    <row r="62" spans="1:17" s="218" customFormat="1" ht="14.25">
      <c r="D62" s="621"/>
    </row>
    <row r="63" spans="1:17" s="218" customFormat="1" ht="14.25"/>
    <row r="64" spans="1:17" s="218" customFormat="1">
      <c r="A64" s="1792"/>
      <c r="B64" s="1792"/>
      <c r="C64" s="1792"/>
      <c r="D64" s="752" t="s">
        <v>758</v>
      </c>
      <c r="E64" s="752">
        <v>51049498</v>
      </c>
      <c r="F64" s="608"/>
      <c r="G64" s="753"/>
      <c r="I64" s="608"/>
      <c r="J64" s="753"/>
      <c r="K64" s="754"/>
    </row>
    <row r="65" spans="1:10" s="218" customFormat="1">
      <c r="D65" s="690" t="s">
        <v>760</v>
      </c>
      <c r="E65" s="690">
        <v>24912231</v>
      </c>
      <c r="G65" s="753"/>
      <c r="J65" s="753"/>
    </row>
    <row r="66" spans="1:10" s="218" customFormat="1">
      <c r="D66" s="690" t="s">
        <v>761</v>
      </c>
      <c r="E66" s="690">
        <v>26137267</v>
      </c>
      <c r="G66" s="753"/>
      <c r="J66" s="753"/>
    </row>
    <row r="67" spans="1:10" s="218" customFormat="1" ht="14.25"/>
    <row r="68" spans="1:10" s="218" customFormat="1" ht="14.25"/>
    <row r="69" spans="1:10" s="218" customFormat="1" ht="14.25">
      <c r="D69" s="218" t="s">
        <v>388</v>
      </c>
      <c r="E69" s="218">
        <v>36759634</v>
      </c>
    </row>
    <row r="70" spans="1:10" s="218" customFormat="1" ht="14.25">
      <c r="D70" s="218" t="s">
        <v>389</v>
      </c>
      <c r="E70" s="218">
        <v>17617733</v>
      </c>
    </row>
    <row r="71" spans="1:10" s="218" customFormat="1" ht="14.25">
      <c r="D71" s="218" t="s">
        <v>390</v>
      </c>
      <c r="E71" s="218">
        <v>19141901</v>
      </c>
    </row>
    <row r="72" spans="1:10" s="218" customFormat="1" ht="14.25"/>
    <row r="73" spans="1:10" s="218" customFormat="1" ht="14.25"/>
    <row r="74" spans="1:10" s="218" customFormat="1" ht="14.25"/>
    <row r="75" spans="1:10" s="218" customFormat="1" ht="15" customHeight="1">
      <c r="A75" s="1793" t="s">
        <v>759</v>
      </c>
      <c r="B75" s="1793"/>
      <c r="C75" s="1793"/>
      <c r="D75" s="1793"/>
      <c r="E75" s="1793"/>
      <c r="F75" s="1793"/>
      <c r="G75" s="1793"/>
      <c r="H75" s="1793"/>
    </row>
    <row r="76" spans="1:10" s="218" customFormat="1" thickBot="1"/>
    <row r="77" spans="1:10" s="218" customFormat="1" ht="36.75" customHeight="1">
      <c r="A77" s="1774" t="s">
        <v>314</v>
      </c>
      <c r="B77" s="1776" t="s">
        <v>591</v>
      </c>
      <c r="C77" s="1776" t="s">
        <v>592</v>
      </c>
      <c r="D77" s="1776" t="s">
        <v>593</v>
      </c>
      <c r="E77" s="1776" t="s">
        <v>594</v>
      </c>
      <c r="F77" s="1794" t="s">
        <v>595</v>
      </c>
      <c r="G77" s="1794" t="s">
        <v>593</v>
      </c>
      <c r="H77" s="1789" t="s">
        <v>596</v>
      </c>
    </row>
    <row r="78" spans="1:10" s="218" customFormat="1" ht="35.25" customHeight="1">
      <c r="A78" s="1775"/>
      <c r="B78" s="1777"/>
      <c r="C78" s="1777"/>
      <c r="D78" s="1777"/>
      <c r="E78" s="1777"/>
      <c r="F78" s="1795"/>
      <c r="G78" s="1795"/>
      <c r="H78" s="1790"/>
    </row>
    <row r="79" spans="1:10" s="218" customFormat="1" ht="24.75" customHeight="1">
      <c r="A79" s="133" t="s">
        <v>236</v>
      </c>
      <c r="B79" s="755">
        <f>+E70</f>
        <v>17617733</v>
      </c>
      <c r="C79" s="755">
        <v>153629</v>
      </c>
      <c r="D79" s="756">
        <f>+C79/B79</f>
        <v>8.720134423651443E-3</v>
      </c>
      <c r="E79" s="755">
        <f>+C79*100000/B79</f>
        <v>872.01344236514421</v>
      </c>
      <c r="F79" s="755">
        <v>90241</v>
      </c>
      <c r="G79" s="756">
        <f>+F79/B79</f>
        <v>5.1221686694877255E-3</v>
      </c>
      <c r="H79" s="757">
        <f>+F79*100000/B79</f>
        <v>512.21686694877258</v>
      </c>
    </row>
    <row r="80" spans="1:10" s="218" customFormat="1" ht="24.75" customHeight="1">
      <c r="A80" s="131" t="s">
        <v>234</v>
      </c>
      <c r="B80" s="132">
        <f>+E71</f>
        <v>19141901</v>
      </c>
      <c r="C80" s="132">
        <v>19276</v>
      </c>
      <c r="D80" s="747">
        <f>+C80/B80</f>
        <v>1.0070055215519085E-3</v>
      </c>
      <c r="E80" s="132">
        <f>+C80*100000/B80</f>
        <v>100.70055215519086</v>
      </c>
      <c r="F80" s="132">
        <v>6672</v>
      </c>
      <c r="G80" s="758">
        <f>+F80/B80</f>
        <v>3.4855472296090132E-4</v>
      </c>
      <c r="H80" s="759">
        <f>+F80*100000/B80</f>
        <v>34.855472296090134</v>
      </c>
    </row>
    <row r="81" spans="1:8" s="218" customFormat="1" ht="24.75" customHeight="1" thickBot="1">
      <c r="A81" s="760" t="s">
        <v>41</v>
      </c>
      <c r="B81" s="761">
        <f>SUM(B79:B80)</f>
        <v>36759634</v>
      </c>
      <c r="C81" s="761">
        <f>SUM(C79:C80)</f>
        <v>172905</v>
      </c>
      <c r="D81" s="762">
        <f>+C81/B81</f>
        <v>4.7036648950313266E-3</v>
      </c>
      <c r="E81" s="761">
        <f>+C81*100000/B81</f>
        <v>470.3664895031327</v>
      </c>
      <c r="F81" s="763">
        <f>SUM(F79:F80)</f>
        <v>96913</v>
      </c>
      <c r="G81" s="764">
        <f>+F81/B81</f>
        <v>2.6363973047174518E-3</v>
      </c>
      <c r="H81" s="765">
        <f>+F81*100000/B81</f>
        <v>263.63973047174517</v>
      </c>
    </row>
    <row r="82" spans="1:8" s="218" customFormat="1" ht="14.25">
      <c r="A82" s="29" t="s">
        <v>597</v>
      </c>
    </row>
    <row r="83" spans="1:8" s="218" customFormat="1" ht="14.25">
      <c r="D83" s="621"/>
    </row>
    <row r="84" spans="1:8" s="218" customFormat="1" ht="14.25"/>
  </sheetData>
  <mergeCells count="36">
    <mergeCell ref="H77:H78"/>
    <mergeCell ref="A61:C61"/>
    <mergeCell ref="A64:C64"/>
    <mergeCell ref="A75:H75"/>
    <mergeCell ref="A77:A78"/>
    <mergeCell ref="B77:B78"/>
    <mergeCell ref="C77:C78"/>
    <mergeCell ref="D77:D78"/>
    <mergeCell ref="E77:E78"/>
    <mergeCell ref="F77:F78"/>
    <mergeCell ref="G77:G78"/>
    <mergeCell ref="A38:G38"/>
    <mergeCell ref="A40:A41"/>
    <mergeCell ref="B40:B41"/>
    <mergeCell ref="C40:C41"/>
    <mergeCell ref="D40:E40"/>
    <mergeCell ref="F40:F41"/>
    <mergeCell ref="G40:G41"/>
    <mergeCell ref="H14:J14"/>
    <mergeCell ref="K14:M14"/>
    <mergeCell ref="A18:G18"/>
    <mergeCell ref="A20:A21"/>
    <mergeCell ref="B20:B21"/>
    <mergeCell ref="C20:C21"/>
    <mergeCell ref="D20:E20"/>
    <mergeCell ref="F20:F21"/>
    <mergeCell ref="G20:G21"/>
    <mergeCell ref="A13:A14"/>
    <mergeCell ref="B14:D14"/>
    <mergeCell ref="E14:G14"/>
    <mergeCell ref="A2:M2"/>
    <mergeCell ref="A4:A5"/>
    <mergeCell ref="B4:D4"/>
    <mergeCell ref="E4:G4"/>
    <mergeCell ref="H4:J4"/>
    <mergeCell ref="K4:M4"/>
  </mergeCells>
  <hyperlinks>
    <hyperlink ref="A61" r:id="rId1"/>
    <hyperlink ref="A34" r:id="rId2"/>
  </hyperlinks>
  <pageMargins left="0.7" right="0.7" top="0.75" bottom="0.75" header="0.3" footer="0.3"/>
  <pageSetup orientation="portrait" horizontalDpi="300" verticalDpi="30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00CC00"/>
  </sheetPr>
  <dimension ref="A2:AB145"/>
  <sheetViews>
    <sheetView showGridLines="0" zoomScale="110" zoomScaleNormal="110" workbookViewId="0">
      <selection activeCell="J43" sqref="J43"/>
    </sheetView>
  </sheetViews>
  <sheetFormatPr baseColWidth="10" defaultRowHeight="15"/>
  <cols>
    <col min="1" max="1" width="13" style="52" customWidth="1"/>
    <col min="2" max="2" width="52.5703125" style="52" customWidth="1"/>
    <col min="3" max="4" width="14.140625" style="52" customWidth="1"/>
    <col min="5" max="5" width="11.42578125" style="52" customWidth="1"/>
    <col min="6" max="6" width="8.42578125" style="52" customWidth="1"/>
    <col min="7" max="18" width="11.42578125" style="52"/>
    <col min="19" max="19" width="8.42578125" style="52" customWidth="1"/>
    <col min="20" max="16384" width="11.42578125" style="52"/>
  </cols>
  <sheetData>
    <row r="2" spans="1:4">
      <c r="B2" s="1798" t="s">
        <v>807</v>
      </c>
      <c r="C2" s="1798"/>
    </row>
    <row r="3" spans="1:4" ht="15.75" thickBot="1">
      <c r="B3" s="1798"/>
      <c r="C3" s="1798"/>
    </row>
    <row r="4" spans="1:4" ht="20.25" customHeight="1" thickBot="1">
      <c r="A4" s="1799" t="s">
        <v>418</v>
      </c>
      <c r="B4" s="1800"/>
      <c r="C4" s="1196" t="s">
        <v>419</v>
      </c>
      <c r="D4" s="652" t="s">
        <v>22</v>
      </c>
    </row>
    <row r="5" spans="1:4" ht="11.25" customHeight="1">
      <c r="A5" s="719" t="str">
        <f>+'DINAMICA ERON'!A4</f>
        <v>CAMIS</v>
      </c>
      <c r="B5" s="82" t="s">
        <v>121</v>
      </c>
      <c r="C5" s="1198">
        <f>+GETPIVOTDATA("ERON",'DINAMICA ERON'!$B3,"CLASIFIC","CAMIS")</f>
        <v>1</v>
      </c>
      <c r="D5" s="1202">
        <f>+C5/$C$18</f>
        <v>7.5187969924812026E-3</v>
      </c>
    </row>
    <row r="6" spans="1:4" ht="11.25" customHeight="1">
      <c r="A6" s="720" t="str">
        <f>+'DINAMICA ERON'!A5</f>
        <v>CMS</v>
      </c>
      <c r="B6" s="254" t="s">
        <v>228</v>
      </c>
      <c r="C6" s="1199">
        <f>+GETPIVOTDATA("ERON",'DINAMICA ERON'!$A$3,"CLASIFIC","CMS")</f>
        <v>1</v>
      </c>
      <c r="D6" s="1203">
        <f t="shared" ref="D6:D17" si="0">+C6/$C$18</f>
        <v>7.5187969924812026E-3</v>
      </c>
    </row>
    <row r="7" spans="1:4" ht="11.25" customHeight="1">
      <c r="A7" s="719" t="str">
        <f>+'DINAMICA ERON'!A11</f>
        <v>CPAMS</v>
      </c>
      <c r="B7" s="82" t="s">
        <v>231</v>
      </c>
      <c r="C7" s="1200">
        <f>+GETPIVOTDATA("ERON",'DINAMICA ERON'!$A$3,"CLASIFIC","CPAMS")</f>
        <v>7</v>
      </c>
      <c r="D7" s="1204">
        <f t="shared" si="0"/>
        <v>5.2631578947368418E-2</v>
      </c>
    </row>
    <row r="8" spans="1:4" ht="11.25" customHeight="1">
      <c r="A8" s="720" t="str">
        <f>+'DINAMICA ERON'!A12</f>
        <v>CPAMSM</v>
      </c>
      <c r="B8" s="254" t="s">
        <v>764</v>
      </c>
      <c r="C8" s="1199">
        <f>+GETPIVOTDATA("ERON",'DINAMICA ERON'!$A$3,"CLASIFIC","CPAMSM")</f>
        <v>1</v>
      </c>
      <c r="D8" s="1203">
        <f t="shared" si="0"/>
        <v>7.5187969924812026E-3</v>
      </c>
    </row>
    <row r="9" spans="1:4" ht="11.25" customHeight="1">
      <c r="A9" s="719" t="str">
        <f>+'DINAMICA ERON'!A13</f>
        <v>CPMMS</v>
      </c>
      <c r="B9" s="82" t="s">
        <v>762</v>
      </c>
      <c r="C9" s="1200">
        <f>+GETPIVOTDATA("ERON",'DINAMICA ERON'!$A$3,"CLASIFIC","CPMMS")</f>
        <v>1</v>
      </c>
      <c r="D9" s="1204">
        <f t="shared" si="0"/>
        <v>7.5187969924812026E-3</v>
      </c>
    </row>
    <row r="10" spans="1:4" ht="11.25" customHeight="1">
      <c r="A10" s="720" t="str">
        <f>+'DINAMICA ERON'!A14</f>
        <v>CPMS</v>
      </c>
      <c r="B10" s="254" t="s">
        <v>763</v>
      </c>
      <c r="C10" s="1199">
        <f>+GETPIVOTDATA("ERON",'DINAMICA ERON'!$A$3,"CLASIFIC","CPMS")</f>
        <v>31</v>
      </c>
      <c r="D10" s="1203">
        <f t="shared" si="0"/>
        <v>0.23308270676691728</v>
      </c>
    </row>
    <row r="11" spans="1:4" ht="11.25" customHeight="1">
      <c r="A11" s="719" t="str">
        <f>+'DINAMICA ERON'!A15</f>
        <v>CPMSM</v>
      </c>
      <c r="B11" s="82" t="s">
        <v>330</v>
      </c>
      <c r="C11" s="1200">
        <f>+GETPIVOTDATA("ERON",'DINAMICA ERON'!$A$3,"CLASIFIC","CPMSM")</f>
        <v>2</v>
      </c>
      <c r="D11" s="1204">
        <f t="shared" si="0"/>
        <v>1.5037593984962405E-2</v>
      </c>
    </row>
    <row r="12" spans="1:4" ht="11.25" customHeight="1">
      <c r="A12" s="720" t="str">
        <f>+'DINAMICA ERON'!A16</f>
        <v>EPC</v>
      </c>
      <c r="B12" s="254" t="s">
        <v>97</v>
      </c>
      <c r="C12" s="1199">
        <f>+GETPIVOTDATA("ERON",'DINAMICA ERON'!$A$3,"CLASIFIC","EPC")</f>
        <v>3</v>
      </c>
      <c r="D12" s="1203">
        <f t="shared" si="0"/>
        <v>2.2556390977443608E-2</v>
      </c>
    </row>
    <row r="13" spans="1:4" ht="11.25" customHeight="1">
      <c r="A13" s="719" t="str">
        <f>+'DINAMICA ERON'!A17</f>
        <v>EPMS</v>
      </c>
      <c r="B13" s="82" t="s">
        <v>232</v>
      </c>
      <c r="C13" s="1200">
        <f>+GETPIVOTDATA("ERON",'DINAMICA ERON'!$A$3,"CLASIFIC","EPMS")</f>
        <v>1</v>
      </c>
      <c r="D13" s="1204">
        <f t="shared" si="0"/>
        <v>7.5187969924812026E-3</v>
      </c>
    </row>
    <row r="14" spans="1:4" ht="11.25" customHeight="1">
      <c r="A14" s="720" t="str">
        <f>+'DINAMICA ERON'!A18</f>
        <v>EPMSC</v>
      </c>
      <c r="B14" s="254" t="s">
        <v>96</v>
      </c>
      <c r="C14" s="1199">
        <f>+GETPIVOTDATA("ERON",'DINAMICA ERON'!$A$3,"CLASIFIC","EPMSC")</f>
        <v>75</v>
      </c>
      <c r="D14" s="1203">
        <f t="shared" si="0"/>
        <v>0.56390977443609025</v>
      </c>
    </row>
    <row r="15" spans="1:4" ht="11.25" customHeight="1">
      <c r="A15" s="719" t="str">
        <f>+'DINAMICA ERON'!A19</f>
        <v>PMS</v>
      </c>
      <c r="B15" s="82" t="s">
        <v>765</v>
      </c>
      <c r="C15" s="1200">
        <f>+GETPIVOTDATA("ERON",'DINAMICA ERON'!$A$3,"CLASIFIC","PMS")</f>
        <v>2</v>
      </c>
      <c r="D15" s="1204">
        <f t="shared" si="0"/>
        <v>1.5037593984962405E-2</v>
      </c>
    </row>
    <row r="16" spans="1:4" ht="11.25" customHeight="1">
      <c r="A16" s="720" t="str">
        <f>+'DINAMICA ERON'!A20</f>
        <v>RM</v>
      </c>
      <c r="B16" s="254" t="s">
        <v>95</v>
      </c>
      <c r="C16" s="1199">
        <f>+GETPIVOTDATA("ERON",'DINAMICA ERON'!$A$3,"CLASIFIC","RM")</f>
        <v>3</v>
      </c>
      <c r="D16" s="1203">
        <f t="shared" si="0"/>
        <v>2.2556390977443608E-2</v>
      </c>
    </row>
    <row r="17" spans="1:4" ht="11.25" customHeight="1" thickBot="1">
      <c r="A17" s="719" t="s">
        <v>579</v>
      </c>
      <c r="B17" s="82" t="s">
        <v>98</v>
      </c>
      <c r="C17" s="1201">
        <f>+GETPIVOTDATA("ERON",'DINAMICA ERON'!$A$3,"CLASIFIC","COBOG")+GETPIVOTDATA("ERON",'DINAMICA ERON'!$A$3,"CLASIFIC","COCUC")+GETPIVOTDATA("ERON",'DINAMICA ERON'!$A$3,"CLASIFIC","COIBA")+GETPIVOTDATA("ERON",'DINAMICA ERON'!$A$3,"CLASIFIC","COJAM")+GETPIVOTDATA("ERON",'DINAMICA ERON'!$A$3,"CLASIFIC","COPED")</f>
        <v>5</v>
      </c>
      <c r="D17" s="1205">
        <f t="shared" si="0"/>
        <v>3.7593984962406013E-2</v>
      </c>
    </row>
    <row r="18" spans="1:4" ht="16.5" customHeight="1" thickBot="1">
      <c r="A18" s="1796" t="s">
        <v>99</v>
      </c>
      <c r="B18" s="1797"/>
      <c r="C18" s="1197">
        <f>SUM(C5:C17)</f>
        <v>133</v>
      </c>
      <c r="D18" s="1206">
        <f>SUM(D5:D17)</f>
        <v>1</v>
      </c>
    </row>
    <row r="19" spans="1:4" ht="11.25" customHeight="1">
      <c r="C19" s="53"/>
    </row>
    <row r="20" spans="1:4" ht="10.5" customHeight="1">
      <c r="C20" s="54"/>
    </row>
    <row r="145" spans="7:28">
      <c r="G145" s="118">
        <f>SUM(G12:G144)</f>
        <v>0</v>
      </c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</row>
  </sheetData>
  <sortState ref="A5:C15">
    <sortCondition ref="A5:A15"/>
  </sortState>
  <mergeCells count="4">
    <mergeCell ref="A18:B18"/>
    <mergeCell ref="B2:C2"/>
    <mergeCell ref="B3:C3"/>
    <mergeCell ref="A4:B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00CC00"/>
  </sheetPr>
  <dimension ref="B3:AB165"/>
  <sheetViews>
    <sheetView showGridLines="0" topLeftCell="A155" workbookViewId="0">
      <selection activeCell="J43" sqref="J43"/>
    </sheetView>
  </sheetViews>
  <sheetFormatPr baseColWidth="10" defaultRowHeight="15"/>
  <cols>
    <col min="1" max="1" width="1" customWidth="1"/>
    <col min="2" max="2" width="15.28515625" customWidth="1"/>
    <col min="3" max="3" width="13.85546875" customWidth="1"/>
    <col min="4" max="4" width="13.5703125" customWidth="1"/>
    <col min="5" max="5" width="14.28515625" customWidth="1"/>
    <col min="6" max="6" width="13.5703125" customWidth="1"/>
    <col min="7" max="7" width="14.28515625" customWidth="1"/>
    <col min="8" max="8" width="13.5703125" customWidth="1"/>
    <col min="9" max="9" width="14.42578125" customWidth="1"/>
    <col min="10" max="10" width="14.7109375" customWidth="1"/>
    <col min="19" max="19" width="8.42578125" customWidth="1"/>
  </cols>
  <sheetData>
    <row r="3" spans="2:12">
      <c r="B3" s="1801" t="s">
        <v>803</v>
      </c>
      <c r="C3" s="1801"/>
      <c r="D3" s="1801"/>
      <c r="E3" s="1801"/>
      <c r="F3" s="1801"/>
      <c r="G3" s="1801"/>
      <c r="H3" s="1801"/>
      <c r="I3" s="1801"/>
      <c r="J3" s="1801"/>
    </row>
    <row r="4" spans="2:12" ht="15.75" thickBot="1"/>
    <row r="5" spans="2:12" ht="22.5" customHeight="1">
      <c r="B5" s="1803" t="s">
        <v>37</v>
      </c>
      <c r="C5" s="1807" t="s">
        <v>420</v>
      </c>
      <c r="D5" s="1807" t="s">
        <v>57</v>
      </c>
      <c r="E5" s="1807" t="s">
        <v>104</v>
      </c>
      <c r="F5" s="1805" t="s">
        <v>14</v>
      </c>
      <c r="G5" s="1807" t="s">
        <v>149</v>
      </c>
      <c r="H5" s="1807" t="s">
        <v>7</v>
      </c>
      <c r="I5" s="1807" t="s">
        <v>103</v>
      </c>
      <c r="J5" s="1811" t="s">
        <v>27</v>
      </c>
    </row>
    <row r="6" spans="2:12" s="9" customFormat="1" ht="25.5" customHeight="1">
      <c r="B6" s="1804"/>
      <c r="C6" s="1808"/>
      <c r="D6" s="1808"/>
      <c r="E6" s="1808"/>
      <c r="F6" s="1806"/>
      <c r="G6" s="1808"/>
      <c r="H6" s="1808"/>
      <c r="I6" s="1808"/>
      <c r="J6" s="1812"/>
    </row>
    <row r="7" spans="2:12" s="59" customFormat="1" ht="18.75" customHeight="1">
      <c r="B7" s="134" t="s">
        <v>40</v>
      </c>
      <c r="C7" s="135" t="s">
        <v>382</v>
      </c>
      <c r="D7" s="136">
        <v>118</v>
      </c>
      <c r="E7" s="137">
        <f>+D7/$D$10</f>
        <v>0.88721804511278191</v>
      </c>
      <c r="F7" s="136">
        <f>+D154</f>
        <v>40164</v>
      </c>
      <c r="G7" s="137">
        <f>+F7/$F$10</f>
        <v>0.49937211702246703</v>
      </c>
      <c r="H7" s="136">
        <f>+E154</f>
        <v>53499</v>
      </c>
      <c r="I7" s="138">
        <f>+H7/$H$10</f>
        <v>0.55203120324414678</v>
      </c>
      <c r="J7" s="139">
        <f>+H7*1/F7-1</f>
        <v>0.33201374365103087</v>
      </c>
      <c r="K7" s="64"/>
      <c r="L7" s="64"/>
    </row>
    <row r="8" spans="2:12" s="59" customFormat="1" ht="18.75" customHeight="1">
      <c r="B8" s="140" t="s">
        <v>39</v>
      </c>
      <c r="C8" s="141" t="s">
        <v>380</v>
      </c>
      <c r="D8" s="142">
        <v>5</v>
      </c>
      <c r="E8" s="143">
        <f>+D8/$D$10</f>
        <v>3.7593984962406013E-2</v>
      </c>
      <c r="F8" s="142">
        <f>+D15</f>
        <v>10588</v>
      </c>
      <c r="G8" s="143">
        <f>+F8/$F$10</f>
        <v>0.13164405873503338</v>
      </c>
      <c r="H8" s="142">
        <f>+E15</f>
        <v>11715</v>
      </c>
      <c r="I8" s="144">
        <f>+H8/$H$10</f>
        <v>0.12088161546954485</v>
      </c>
      <c r="J8" s="145">
        <f>+H8*1/F8-1</f>
        <v>0.10644125425009454</v>
      </c>
      <c r="K8" s="64"/>
      <c r="L8" s="64"/>
    </row>
    <row r="9" spans="2:12" s="51" customFormat="1" ht="18.75" customHeight="1">
      <c r="B9" s="146" t="s">
        <v>38</v>
      </c>
      <c r="C9" s="147" t="s">
        <v>381</v>
      </c>
      <c r="D9" s="148">
        <v>10</v>
      </c>
      <c r="E9" s="149">
        <f>+D9/$D$10</f>
        <v>7.5187969924812026E-2</v>
      </c>
      <c r="F9" s="148">
        <f>+D22</f>
        <v>29677</v>
      </c>
      <c r="G9" s="149">
        <f>+F9/$F$10</f>
        <v>0.36898382424249959</v>
      </c>
      <c r="H9" s="148">
        <f>+E22</f>
        <v>31699</v>
      </c>
      <c r="I9" s="150">
        <f>+H9/$H$10</f>
        <v>0.32708718128630832</v>
      </c>
      <c r="J9" s="151">
        <f>+H9*1/F9-1</f>
        <v>6.8133571452640096E-2</v>
      </c>
      <c r="K9" s="64"/>
      <c r="L9" s="64"/>
    </row>
    <row r="10" spans="2:12" ht="18.75" customHeight="1" thickBot="1">
      <c r="B10" s="1809" t="s">
        <v>20</v>
      </c>
      <c r="C10" s="1810"/>
      <c r="D10" s="654">
        <f t="shared" ref="D10:I10" si="0">SUM(D7:D9)</f>
        <v>133</v>
      </c>
      <c r="E10" s="655">
        <f t="shared" si="0"/>
        <v>0.99999999999999989</v>
      </c>
      <c r="F10" s="654">
        <f>SUM(F7:F9)</f>
        <v>80429</v>
      </c>
      <c r="G10" s="655">
        <f t="shared" si="0"/>
        <v>1</v>
      </c>
      <c r="H10" s="654">
        <f t="shared" si="0"/>
        <v>96913</v>
      </c>
      <c r="I10" s="655">
        <f t="shared" si="0"/>
        <v>1</v>
      </c>
      <c r="J10" s="656">
        <f>+H10*1/F10-1</f>
        <v>0.20495095052779466</v>
      </c>
      <c r="K10" s="6"/>
      <c r="L10" s="64"/>
    </row>
    <row r="11" spans="2:12" ht="15.75">
      <c r="B11" s="1802"/>
      <c r="C11" s="1802"/>
      <c r="D11" s="1802"/>
      <c r="E11" s="1802"/>
      <c r="F11" s="10"/>
    </row>
    <row r="12" spans="2:12" hidden="1">
      <c r="D12" s="256">
        <f>+D15+D22+D34</f>
        <v>77158</v>
      </c>
      <c r="E12" s="256">
        <f>+E15+E22+E34</f>
        <v>93158</v>
      </c>
    </row>
    <row r="13" spans="2:12" hidden="1">
      <c r="D13" s="15"/>
      <c r="G13" s="1007"/>
      <c r="H13" s="1007"/>
      <c r="I13" s="1007"/>
    </row>
    <row r="14" spans="2:12" ht="20.25" hidden="1" customHeight="1">
      <c r="C14" s="6"/>
      <c r="D14" s="255" t="s">
        <v>14</v>
      </c>
      <c r="E14" s="255" t="s">
        <v>7</v>
      </c>
      <c r="G14" s="1007"/>
      <c r="H14" s="1007"/>
      <c r="I14" s="1007"/>
    </row>
    <row r="15" spans="2:12" ht="22.5" hidden="1" customHeight="1">
      <c r="C15" s="1099" t="s">
        <v>39</v>
      </c>
      <c r="D15" s="256">
        <f>SUM(D16:D20)</f>
        <v>10588</v>
      </c>
      <c r="E15" s="256">
        <f>SUM(E16:E20)</f>
        <v>11715</v>
      </c>
      <c r="F15" s="15"/>
      <c r="G15" s="1007"/>
      <c r="H15" s="1007"/>
      <c r="I15" s="1007"/>
    </row>
    <row r="16" spans="2:12" hidden="1">
      <c r="B16" s="1813" t="str">
        <f>+'PARTE DIC2021'!D45</f>
        <v>CPAMSEB El Barne</v>
      </c>
      <c r="C16" s="1813"/>
      <c r="D16" s="6">
        <f>+'PARTE DIC2021'!E45</f>
        <v>2664</v>
      </c>
      <c r="E16" s="691">
        <f>+'PARTE DIC2021'!N45</f>
        <v>3941</v>
      </c>
      <c r="F16" s="15"/>
      <c r="G16" s="1007"/>
      <c r="H16" s="1007"/>
      <c r="I16" s="1007"/>
    </row>
    <row r="17" spans="2:10" hidden="1">
      <c r="B17" s="1813" t="str">
        <f>+'PARTE DIC2021'!D68</f>
        <v>CPAMSPY-ERE Popayán</v>
      </c>
      <c r="C17" s="1813"/>
      <c r="D17" s="691">
        <f>+'PARTE DIC2021'!E68</f>
        <v>2524</v>
      </c>
      <c r="E17" s="691">
        <f>+'PARTE DIC2021'!N68</f>
        <v>2505</v>
      </c>
      <c r="F17" s="15"/>
      <c r="G17" s="1007"/>
      <c r="H17" s="1007"/>
      <c r="I17" s="1007"/>
    </row>
    <row r="18" spans="2:10" hidden="1">
      <c r="B18" s="1813" t="str">
        <f>+'PARTE DIC2021'!D87</f>
        <v>CPAMSVAL Valledupar</v>
      </c>
      <c r="C18" s="1813"/>
      <c r="D18" s="691">
        <f>+'PARTE DIC2021'!E87</f>
        <v>1452</v>
      </c>
      <c r="E18" s="691">
        <f>+'PARTE DIC2021'!N87</f>
        <v>1596</v>
      </c>
      <c r="G18" s="1007"/>
      <c r="H18" s="1007"/>
      <c r="I18" s="1007"/>
    </row>
    <row r="19" spans="2:10" hidden="1">
      <c r="B19" s="1813" t="str">
        <f>+'PARTE DIC2021'!D101</f>
        <v>CPAMSGIR Girón</v>
      </c>
      <c r="C19" s="1813"/>
      <c r="D19" s="691">
        <f>+'PARTE DIC2021'!E101</f>
        <v>2424</v>
      </c>
      <c r="E19" s="691">
        <f>+'PARTE DIC2021'!N101</f>
        <v>2148</v>
      </c>
      <c r="F19" s="18"/>
    </row>
    <row r="20" spans="2:10" hidden="1">
      <c r="B20" s="1813" t="str">
        <f>+'PARTE DIC2021'!D141</f>
        <v>CPAMSLDO-ERE La Dorada</v>
      </c>
      <c r="C20" s="1813"/>
      <c r="D20" s="691">
        <f>+'PARTE DIC2021'!E141</f>
        <v>1524</v>
      </c>
      <c r="E20" s="691">
        <f>+'PARTE DIC2021'!N141</f>
        <v>1525</v>
      </c>
    </row>
    <row r="21" spans="2:10" hidden="1">
      <c r="C21" s="6"/>
      <c r="E21" s="6"/>
    </row>
    <row r="22" spans="2:10" hidden="1">
      <c r="C22" s="1100" t="s">
        <v>38</v>
      </c>
      <c r="D22" s="256">
        <f>SUM(D23:D32)</f>
        <v>29677</v>
      </c>
      <c r="E22" s="256">
        <f>SUM(E23:E32)</f>
        <v>31699</v>
      </c>
    </row>
    <row r="23" spans="2:10" hidden="1">
      <c r="B23" s="1813" t="str">
        <f>+'PARTE DIC2021'!D43</f>
        <v>CPMSACS - RM Acacias</v>
      </c>
      <c r="C23" s="1813"/>
      <c r="D23" s="691">
        <f>+'PARTE DIC2021'!E43</f>
        <v>2376</v>
      </c>
      <c r="E23" s="691">
        <f>+'PARTE DIC2021'!N43</f>
        <v>2685</v>
      </c>
      <c r="F23" s="691"/>
      <c r="G23" s="1007"/>
      <c r="H23" s="1007"/>
      <c r="I23" s="1007"/>
      <c r="J23" s="1007"/>
    </row>
    <row r="24" spans="2:10" hidden="1">
      <c r="B24" s="1813" t="str">
        <f>+'PARTE DIC2021'!D19</f>
        <v>COBOG-ERE-JP Bogotá</v>
      </c>
      <c r="C24" s="1813"/>
      <c r="D24" s="691">
        <f>+'PARTE DIC2021'!E19</f>
        <v>5970</v>
      </c>
      <c r="E24" s="691">
        <f>+'PARTE DIC2021'!N19</f>
        <v>6877</v>
      </c>
      <c r="F24" s="691"/>
      <c r="G24" s="1007"/>
      <c r="H24" s="1007"/>
      <c r="I24" s="1007"/>
      <c r="J24" s="1007"/>
    </row>
    <row r="25" spans="2:10" hidden="1">
      <c r="B25" s="1813" t="str">
        <f>+'PARTE DIC2021'!D49</f>
        <v xml:space="preserve">PMSHELIC Las Heliconias </v>
      </c>
      <c r="C25" s="1813"/>
      <c r="D25" s="691">
        <f>+'PARTE DIC2021'!E49</f>
        <v>1388</v>
      </c>
      <c r="E25" s="691">
        <f>+'PARTE DIC2021'!N49</f>
        <v>1311</v>
      </c>
      <c r="F25" s="691"/>
      <c r="G25" s="1007"/>
      <c r="H25" s="1007"/>
      <c r="I25" s="1007"/>
      <c r="J25" s="1007"/>
    </row>
    <row r="26" spans="2:10" hidden="1">
      <c r="B26" s="1813" t="str">
        <f>+'PARTE DIC2021'!D48</f>
        <v>PMSLEGU La Esperanza de Guaduas</v>
      </c>
      <c r="C26" s="1813"/>
      <c r="D26" s="691">
        <f>+'PARTE DIC2021'!E48</f>
        <v>2822</v>
      </c>
      <c r="E26" s="691">
        <f>+'PARTE DIC2021'!N48</f>
        <v>2735</v>
      </c>
      <c r="F26" s="691"/>
      <c r="G26" s="1007"/>
      <c r="H26" s="1007"/>
      <c r="I26" s="1007"/>
      <c r="J26" s="1007"/>
    </row>
    <row r="27" spans="2:10" hidden="1">
      <c r="B27" s="1813" t="str">
        <f>+'PARTE DIC2021'!D47</f>
        <v>EPCYOP Yopal</v>
      </c>
      <c r="C27" s="1813"/>
      <c r="D27" s="691">
        <f>+'PARTE DIC2021'!E47</f>
        <v>918</v>
      </c>
      <c r="E27" s="691">
        <f>+'PARTE DIC2021'!N47</f>
        <v>874</v>
      </c>
      <c r="F27" s="691"/>
      <c r="G27" s="1007"/>
      <c r="H27" s="1007"/>
      <c r="I27" s="1007"/>
      <c r="J27" s="1007"/>
    </row>
    <row r="28" spans="2:10" hidden="1">
      <c r="B28" s="1813" t="str">
        <f>+'PARTE DIC2021'!D73</f>
        <v>COJAM Jamundí</v>
      </c>
      <c r="C28" s="1813"/>
      <c r="D28" s="691">
        <f>+'PARTE DIC2021'!E73</f>
        <v>4444</v>
      </c>
      <c r="E28" s="691">
        <f>+'PARTE DIC2021'!N73</f>
        <v>4314</v>
      </c>
      <c r="F28" s="691"/>
      <c r="G28" s="1007"/>
      <c r="H28" s="1007"/>
      <c r="I28" s="1007"/>
      <c r="J28" s="1007"/>
    </row>
    <row r="29" spans="2:10" hidden="1">
      <c r="B29" s="1813" t="str">
        <f>+'PARTE DIC2021'!D102</f>
        <v>COCUC - ERE Cúcuta</v>
      </c>
      <c r="C29" s="1813"/>
      <c r="D29" s="691">
        <f>+'PARTE DIC2021'!E102</f>
        <v>2636</v>
      </c>
      <c r="E29" s="691">
        <f>+'PARTE DIC2021'!N102</f>
        <v>3299</v>
      </c>
      <c r="F29" s="691"/>
      <c r="G29" s="1007"/>
      <c r="H29" s="1007"/>
      <c r="I29" s="1007"/>
      <c r="J29" s="1007"/>
    </row>
    <row r="30" spans="2:10" hidden="1">
      <c r="B30" s="1813" t="str">
        <f>+'PARTE DIC2021'!D121</f>
        <v>COPED Medellín Pedregal</v>
      </c>
      <c r="C30" s="1813"/>
      <c r="D30" s="691">
        <f>+'PARTE DIC2021'!E121</f>
        <v>3165</v>
      </c>
      <c r="E30" s="691">
        <f>+'PARTE DIC2021'!N121</f>
        <v>3381</v>
      </c>
      <c r="F30" s="691"/>
      <c r="G30" s="1007"/>
      <c r="H30" s="1007"/>
      <c r="I30" s="1007"/>
      <c r="J30" s="1007"/>
    </row>
    <row r="31" spans="2:10" hidden="1">
      <c r="B31" s="1813" t="str">
        <f>+'PARTE DIC2021'!D120</f>
        <v>CPMSPTR Puerto Triunfo</v>
      </c>
      <c r="C31" s="1813"/>
      <c r="D31" s="691">
        <f>+'PARTE DIC2021'!E120</f>
        <v>1316</v>
      </c>
      <c r="E31" s="691">
        <f>+'PARTE DIC2021'!N120</f>
        <v>1500</v>
      </c>
      <c r="F31" s="691"/>
      <c r="G31" s="1007"/>
      <c r="H31" s="1007"/>
      <c r="I31" s="1007"/>
      <c r="J31" s="1007"/>
    </row>
    <row r="32" spans="2:10" hidden="1">
      <c r="B32" s="1813" t="str">
        <f>+'PARTE DIC2021'!D142</f>
        <v>COIBA-ERE Ibagué</v>
      </c>
      <c r="C32" s="1813"/>
      <c r="D32" s="691">
        <f>+'PARTE DIC2021'!E142</f>
        <v>4642</v>
      </c>
      <c r="E32" s="691">
        <f>+'PARTE DIC2021'!N142</f>
        <v>4723</v>
      </c>
      <c r="F32" s="691"/>
      <c r="G32" s="1007"/>
      <c r="H32" s="1007"/>
      <c r="I32" s="1007"/>
      <c r="J32" s="1007"/>
    </row>
    <row r="33" spans="2:10" hidden="1">
      <c r="G33" s="1007"/>
      <c r="H33" s="1007"/>
      <c r="I33" s="1007"/>
      <c r="J33" s="1007"/>
    </row>
    <row r="34" spans="2:10" hidden="1">
      <c r="C34" s="257" t="s">
        <v>610</v>
      </c>
      <c r="D34" s="256">
        <f>SUM(D36:D141)</f>
        <v>36893</v>
      </c>
      <c r="E34" s="256">
        <f>SUM(E36:E141)</f>
        <v>49744</v>
      </c>
    </row>
    <row r="35" spans="2:10" hidden="1"/>
    <row r="36" spans="2:10" hidden="1">
      <c r="B36" s="690" t="str">
        <f>+'PARTE DIC2021'!D10</f>
        <v>EPMSCLET Leticia</v>
      </c>
      <c r="D36" s="815">
        <f>+'PARTE DIC2021'!E10</f>
        <v>118</v>
      </c>
      <c r="E36" s="815">
        <f>+'PARTE DIC2021'!N10</f>
        <v>141</v>
      </c>
    </row>
    <row r="37" spans="2:10" hidden="1">
      <c r="B37" s="1007" t="str">
        <f>+'PARTE DIC2021'!D11</f>
        <v>EPMSCSRV Santa Rosa de Viterbo</v>
      </c>
      <c r="D37" s="815">
        <f>+'PARTE DIC2021'!E11</f>
        <v>320</v>
      </c>
      <c r="E37" s="815">
        <f>+'PARTE DIC2021'!N11</f>
        <v>341</v>
      </c>
    </row>
    <row r="38" spans="2:10" hidden="1">
      <c r="B38" s="1007" t="str">
        <f>+'PARTE DIC2021'!D12</f>
        <v>CPMSCHI Chiquinquirá</v>
      </c>
      <c r="D38" s="815">
        <f>+'PARTE DIC2021'!E12</f>
        <v>322</v>
      </c>
      <c r="E38" s="815">
        <f>+'PARTE DIC2021'!N12</f>
        <v>351</v>
      </c>
    </row>
    <row r="39" spans="2:10" hidden="1">
      <c r="B39" s="1007" t="str">
        <f>+'PARTE DIC2021'!D13</f>
        <v>EPMSCDUI Duitama</v>
      </c>
      <c r="D39" s="815">
        <f>+'PARTE DIC2021'!E13</f>
        <v>306</v>
      </c>
      <c r="E39" s="815">
        <f>+'PARTE DIC2021'!N13</f>
        <v>373</v>
      </c>
    </row>
    <row r="40" spans="2:10" hidden="1">
      <c r="B40" s="1007" t="str">
        <f>+'PARTE DIC2021'!D14</f>
        <v>CPMSGAR Garagoa</v>
      </c>
      <c r="D40" s="815">
        <f>+'PARTE DIC2021'!E14</f>
        <v>37</v>
      </c>
      <c r="E40" s="815">
        <f>+'PARTE DIC2021'!N14</f>
        <v>0</v>
      </c>
    </row>
    <row r="41" spans="2:10" hidden="1">
      <c r="B41" s="1007" t="str">
        <f>+'PARTE DIC2021'!D15</f>
        <v>EPMSCGTQ Guateque</v>
      </c>
      <c r="D41" s="815">
        <f>+'PARTE DIC2021'!E15</f>
        <v>55</v>
      </c>
      <c r="E41" s="815">
        <f>+'PARTE DIC2021'!N15</f>
        <v>57</v>
      </c>
    </row>
    <row r="42" spans="2:10" hidden="1">
      <c r="B42" s="1007" t="str">
        <f>+'PARTE DIC2021'!D16</f>
        <v>CPMSMOQ Moniquirá</v>
      </c>
      <c r="D42" s="815">
        <f>+'PARTE DIC2021'!E16</f>
        <v>73</v>
      </c>
      <c r="E42" s="815">
        <f>+'PARTE DIC2021'!N16</f>
        <v>102</v>
      </c>
    </row>
    <row r="43" spans="2:10" hidden="1">
      <c r="B43" s="1007" t="str">
        <f>+'PARTE DIC2021'!D17</f>
        <v>CPMSRAM Ramiriquí</v>
      </c>
      <c r="D43" s="815">
        <f>+'PARTE DIC2021'!E17</f>
        <v>122</v>
      </c>
      <c r="E43" s="815">
        <f>+'PARTE DIC2021'!N17</f>
        <v>144</v>
      </c>
    </row>
    <row r="44" spans="2:10" hidden="1">
      <c r="B44" s="1007" t="str">
        <f>+'PARTE DIC2021'!D18</f>
        <v>EPMSCSOG-RM-JP Sogamoso</v>
      </c>
      <c r="D44" s="815">
        <f>+'PARTE DIC2021'!E18</f>
        <v>395</v>
      </c>
      <c r="E44" s="815">
        <f>+'PARTE DIC2021'!N18</f>
        <v>516</v>
      </c>
    </row>
    <row r="45" spans="2:10" hidden="1">
      <c r="B45" s="1007" t="str">
        <f>+'PARTE DIC2021'!D20</f>
        <v>CPMSBOG - Bogotá</v>
      </c>
      <c r="D45" s="815">
        <f>+'PARTE DIC2021'!E20</f>
        <v>2905</v>
      </c>
      <c r="E45" s="815">
        <f>+'PARTE DIC2021'!N20</f>
        <v>3360</v>
      </c>
    </row>
    <row r="46" spans="2:10" hidden="1">
      <c r="B46" s="1007" t="str">
        <f>+'PARTE DIC2021'!D21</f>
        <v>EPMSCCAQ Cáqueza</v>
      </c>
      <c r="D46" s="815">
        <f>+'PARTE DIC2021'!E21</f>
        <v>108</v>
      </c>
      <c r="E46" s="815">
        <f>+'PARTE DIC2021'!N21</f>
        <v>157</v>
      </c>
    </row>
    <row r="47" spans="2:10" hidden="1">
      <c r="B47" s="1007" t="str">
        <f>+'PARTE DIC2021'!D22</f>
        <v>CPMSCHO Chocontá</v>
      </c>
      <c r="D47" s="815">
        <f>+'PARTE DIC2021'!E22</f>
        <v>112</v>
      </c>
      <c r="E47" s="815">
        <f>+'PARTE DIC2021'!N22</f>
        <v>144</v>
      </c>
    </row>
    <row r="48" spans="2:10" hidden="1">
      <c r="B48" s="1007" t="str">
        <f>+'PARTE DIC2021'!D23</f>
        <v>CPMSFUS - CAM Fusagasugá</v>
      </c>
      <c r="D48" s="815">
        <f>+'PARTE DIC2021'!E23</f>
        <v>153</v>
      </c>
      <c r="E48" s="815">
        <f>+'PARTE DIC2021'!N23</f>
        <v>221</v>
      </c>
    </row>
    <row r="49" spans="2:5" hidden="1">
      <c r="B49" s="1007" t="str">
        <f>+'PARTE DIC2021'!D24</f>
        <v>CPMSGAC Gachetá</v>
      </c>
      <c r="D49" s="815">
        <f>+'PARTE DIC2021'!E24</f>
        <v>58</v>
      </c>
      <c r="E49" s="815">
        <f>+'PARTE DIC2021'!N24</f>
        <v>50</v>
      </c>
    </row>
    <row r="50" spans="2:5" hidden="1">
      <c r="B50" s="1007" t="str">
        <f>+'PARTE DIC2021'!D25</f>
        <v>CPMSLMS La Mesa</v>
      </c>
      <c r="D50" s="815">
        <f>+'PARTE DIC2021'!E25</f>
        <v>60</v>
      </c>
      <c r="E50" s="815">
        <f>+'PARTE DIC2021'!N25</f>
        <v>110</v>
      </c>
    </row>
    <row r="51" spans="2:5" hidden="1">
      <c r="B51" s="1007" t="str">
        <f>+'PARTE DIC2021'!D26</f>
        <v>CPMSUBA Ubaté</v>
      </c>
      <c r="D51" s="815">
        <f>+'PARTE DIC2021'!E26</f>
        <v>117</v>
      </c>
      <c r="E51" s="815">
        <f>+'PARTE DIC2021'!N26</f>
        <v>119</v>
      </c>
    </row>
    <row r="52" spans="2:5" hidden="1">
      <c r="B52" s="1007" t="str">
        <f>+'PARTE DIC2021'!D27</f>
        <v>CPMSVILL Villeta</v>
      </c>
      <c r="D52" s="815">
        <f>+'PARTE DIC2021'!E27</f>
        <v>70</v>
      </c>
      <c r="E52" s="815">
        <f>+'PARTE DIC2021'!N27</f>
        <v>86</v>
      </c>
    </row>
    <row r="53" spans="2:5" hidden="1">
      <c r="B53" s="1007" t="str">
        <f>+'PARTE DIC2021'!D28</f>
        <v>EPMSCZIP Zipaquirá</v>
      </c>
      <c r="D53" s="815">
        <f>+'PARTE DIC2021'!E28</f>
        <v>152</v>
      </c>
      <c r="E53" s="815">
        <f>+'PARTE DIC2021'!N28</f>
        <v>165</v>
      </c>
    </row>
    <row r="54" spans="2:5" hidden="1">
      <c r="B54" s="1007" t="str">
        <f>+'PARTE DIC2021'!D29</f>
        <v>CPAMSMBOG-ERE Bogotá</v>
      </c>
      <c r="D54" s="815">
        <f>+'PARTE DIC2021'!E29</f>
        <v>1246</v>
      </c>
      <c r="E54" s="815">
        <f>+'PARTE DIC2021'!N29</f>
        <v>1784</v>
      </c>
    </row>
    <row r="55" spans="2:5" hidden="1">
      <c r="B55" s="1007" t="str">
        <f>+'PARTE DIC2021'!D30</f>
        <v>CAMISACS Acacias</v>
      </c>
      <c r="D55" s="815">
        <f>+'PARTE DIC2021'!E30</f>
        <v>1098</v>
      </c>
      <c r="E55" s="815">
        <f>+'PARTE DIC2021'!N30</f>
        <v>890</v>
      </c>
    </row>
    <row r="56" spans="2:5" hidden="1">
      <c r="B56" s="1007" t="str">
        <f>+'PARTE DIC2021'!D31</f>
        <v>EPMSCVILLV Villavicencio</v>
      </c>
      <c r="D56" s="815">
        <f>+'PARTE DIC2021'!E31</f>
        <v>899</v>
      </c>
      <c r="E56" s="815">
        <f>+'PARTE DIC2021'!N31</f>
        <v>1342</v>
      </c>
    </row>
    <row r="57" spans="2:5" hidden="1">
      <c r="B57" s="1007" t="str">
        <f>+'PARTE DIC2021'!D32</f>
        <v>EPMSCGRA Granada</v>
      </c>
      <c r="D57" s="815">
        <f>+'PARTE DIC2021'!E32</f>
        <v>120</v>
      </c>
      <c r="E57" s="815">
        <f>+'PARTE DIC2021'!N32</f>
        <v>192</v>
      </c>
    </row>
    <row r="58" spans="2:5" hidden="1">
      <c r="B58" s="1007" t="str">
        <f>+'PARTE DIC2021'!D33</f>
        <v>CPMSMEL Melgar</v>
      </c>
      <c r="D58" s="815">
        <f>+'PARTE DIC2021'!E33</f>
        <v>90</v>
      </c>
      <c r="E58" s="815">
        <f>+'PARTE DIC2021'!N33</f>
        <v>83</v>
      </c>
    </row>
    <row r="59" spans="2:5" hidden="1">
      <c r="B59" s="1007" t="str">
        <f>+'PARTE DIC2021'!D34</f>
        <v>EPMSCGIR Girardot</v>
      </c>
      <c r="D59" s="815">
        <f>+'PARTE DIC2021'!E34</f>
        <v>899</v>
      </c>
      <c r="E59" s="815">
        <f>+'PARTE DIC2021'!N34</f>
        <v>892</v>
      </c>
    </row>
    <row r="60" spans="2:5" hidden="1">
      <c r="B60" s="1007" t="str">
        <f>+'PARTE DIC2021'!D35</f>
        <v>EPMSCNEI Neiva</v>
      </c>
      <c r="D60" s="815">
        <f>+'PARTE DIC2021'!E35</f>
        <v>984</v>
      </c>
      <c r="E60" s="815">
        <f>+'PARTE DIC2021'!N35</f>
        <v>1447</v>
      </c>
    </row>
    <row r="61" spans="2:5" hidden="1">
      <c r="B61" s="1007" t="str">
        <f>+'PARTE DIC2021'!D36</f>
        <v>CPMSGAZ Garzón</v>
      </c>
      <c r="D61" s="815">
        <f>+'PARTE DIC2021'!E36</f>
        <v>291</v>
      </c>
      <c r="E61" s="815">
        <f>+'PARTE DIC2021'!N36</f>
        <v>394</v>
      </c>
    </row>
    <row r="62" spans="2:5" hidden="1">
      <c r="B62" s="1007" t="str">
        <f>+'PARTE DIC2021'!D37</f>
        <v>EPMSCLPL La Plata</v>
      </c>
      <c r="D62" s="815">
        <f>+'PARTE DIC2021'!E37</f>
        <v>304</v>
      </c>
      <c r="E62" s="815">
        <f>+'PARTE DIC2021'!N37</f>
        <v>380</v>
      </c>
    </row>
    <row r="63" spans="2:5" hidden="1">
      <c r="B63" s="1007" t="str">
        <f>+'PARTE DIC2021'!D38</f>
        <v>EPMSCPIT Pitalito</v>
      </c>
      <c r="D63" s="815">
        <f>+'PARTE DIC2021'!E38</f>
        <v>650</v>
      </c>
      <c r="E63" s="815">
        <f>+'PARTE DIC2021'!N38</f>
        <v>841</v>
      </c>
    </row>
    <row r="64" spans="2:5" hidden="1">
      <c r="B64" s="1007" t="str">
        <f>+'PARTE DIC2021'!D39</f>
        <v>CPMSFLO-ERE-RM Florencia</v>
      </c>
      <c r="D64" s="815">
        <f>+'PARTE DIC2021'!E39</f>
        <v>550</v>
      </c>
      <c r="E64" s="815">
        <f>+'PARTE DIC2021'!N39</f>
        <v>830</v>
      </c>
    </row>
    <row r="65" spans="2:5" hidden="1">
      <c r="B65" s="1007" t="str">
        <f>+'PARTE DIC2021'!D40</f>
        <v>EPMSCCHA Chaparral</v>
      </c>
      <c r="D65" s="815">
        <f>+'PARTE DIC2021'!E40</f>
        <v>169</v>
      </c>
      <c r="E65" s="815">
        <f>+'PARTE DIC2021'!N40</f>
        <v>230</v>
      </c>
    </row>
    <row r="66" spans="2:5" hidden="1">
      <c r="B66" s="1007" t="str">
        <f>+'PARTE DIC2021'!D41</f>
        <v>CPMSESP Espinal</v>
      </c>
      <c r="D66" s="815">
        <f>+'PARTE DIC2021'!E41</f>
        <v>1118</v>
      </c>
      <c r="E66" s="815">
        <f>+'PARTE DIC2021'!N41</f>
        <v>1047</v>
      </c>
    </row>
    <row r="67" spans="2:5" hidden="1">
      <c r="B67" s="1007" t="str">
        <f>+'PARTE DIC2021'!D42</f>
        <v>CPMSPUR Purificación</v>
      </c>
      <c r="D67" s="815">
        <f>+'PARTE DIC2021'!E42</f>
        <v>113</v>
      </c>
      <c r="E67" s="815">
        <f>+'PARTE DIC2021'!N42</f>
        <v>1</v>
      </c>
    </row>
    <row r="68" spans="2:5" hidden="1">
      <c r="B68" s="1007" t="str">
        <f>+'PARTE DIC2021'!D44</f>
        <v>CPMSTUN Tunja</v>
      </c>
      <c r="D68" s="815">
        <f>+'PARTE DIC2021'!E44</f>
        <v>120</v>
      </c>
      <c r="E68" s="815">
        <f>+'PARTE DIC2021'!N44</f>
        <v>169</v>
      </c>
    </row>
    <row r="69" spans="2:5" hidden="1">
      <c r="B69" s="1007" t="str">
        <f>+'PARTE DIC2021'!D46</f>
        <v>CPMSPDA Paz de Ariporo</v>
      </c>
      <c r="D69" s="815">
        <f>+'PARTE DIC2021'!E46</f>
        <v>120</v>
      </c>
      <c r="E69" s="815">
        <f>+'PARTE DIC2021'!N46</f>
        <v>94</v>
      </c>
    </row>
    <row r="70" spans="2:5" hidden="1">
      <c r="B70" s="1007" t="str">
        <f>+'PARTE DIC2021'!D50</f>
        <v>EPCGUM El Guamo</v>
      </c>
      <c r="D70" s="815">
        <f>+'PARTE DIC2021'!E50</f>
        <v>100</v>
      </c>
      <c r="E70" s="815">
        <f>+'PARTE DIC2021'!N50</f>
        <v>101</v>
      </c>
    </row>
    <row r="71" spans="2:5" hidden="1">
      <c r="B71" s="1007" t="str">
        <f>+'PARTE DIC2021'!D51</f>
        <v>CPMMSFFA Facatativá</v>
      </c>
      <c r="D71" s="815">
        <f>+'PARTE DIC2021'!E51</f>
        <v>180</v>
      </c>
      <c r="E71" s="815">
        <f>+'PARTE DIC2021'!N51</f>
        <v>84</v>
      </c>
    </row>
    <row r="72" spans="2:5" hidden="1">
      <c r="B72" s="1007" t="str">
        <f>+'PARTE DIC2021'!D52</f>
        <v>EPMSCBOL Bolívar Cauca</v>
      </c>
      <c r="D72" s="815">
        <f>+'PARTE DIC2021'!E52</f>
        <v>186</v>
      </c>
      <c r="E72" s="815">
        <f>+'PARTE DIC2021'!N52</f>
        <v>155</v>
      </c>
    </row>
    <row r="73" spans="2:5" hidden="1">
      <c r="B73" s="1007" t="str">
        <f>+'PARTE DIC2021'!D53</f>
        <v>CPMSEBO El Bordo</v>
      </c>
      <c r="D73" s="815">
        <f>+'PARTE DIC2021'!E53</f>
        <v>108</v>
      </c>
      <c r="E73" s="815">
        <f>+'PARTE DIC2021'!N53</f>
        <v>113</v>
      </c>
    </row>
    <row r="74" spans="2:5" hidden="1">
      <c r="B74" s="1007" t="str">
        <f>+'PARTE DIC2021'!D54</f>
        <v>EPMSCPTE Puerto Tejada</v>
      </c>
      <c r="D74" s="815">
        <f>+'PARTE DIC2021'!E54</f>
        <v>64</v>
      </c>
      <c r="E74" s="815">
        <f>+'PARTE DIC2021'!N54</f>
        <v>0</v>
      </c>
    </row>
    <row r="75" spans="2:5" hidden="1">
      <c r="B75" s="1007" t="str">
        <f>+'PARTE DIC2021'!D55</f>
        <v>EPMSCSDQ Santander de Quilichao</v>
      </c>
      <c r="D75" s="815">
        <f>+'PARTE DIC2021'!E55</f>
        <v>230</v>
      </c>
      <c r="E75" s="815">
        <f>+'PARTE DIC2021'!N55</f>
        <v>320</v>
      </c>
    </row>
    <row r="76" spans="2:5" hidden="1">
      <c r="B76" s="1007" t="str">
        <f>+'PARTE DIC2021'!D56</f>
        <v>EPMSCSIL Silvia</v>
      </c>
      <c r="D76" s="815">
        <f>+'PARTE DIC2021'!E56</f>
        <v>100</v>
      </c>
      <c r="E76" s="815">
        <f>+'PARTE DIC2021'!N56</f>
        <v>96</v>
      </c>
    </row>
    <row r="77" spans="2:5" hidden="1">
      <c r="B77" s="1007" t="str">
        <f>+'PARTE DIC2021'!D57</f>
        <v>CPMSMPY Popayán</v>
      </c>
      <c r="D77" s="815">
        <f>+'PARTE DIC2021'!E57</f>
        <v>100</v>
      </c>
      <c r="E77" s="815">
        <f>+'PARTE DIC2021'!N57</f>
        <v>145</v>
      </c>
    </row>
    <row r="78" spans="2:5" hidden="1">
      <c r="B78" s="1007" t="str">
        <f>+'PARTE DIC2021'!D58</f>
        <v>EPMSCPAS-RM Pasto</v>
      </c>
      <c r="D78" s="815">
        <f>+'PARTE DIC2021'!E58</f>
        <v>568</v>
      </c>
      <c r="E78" s="815">
        <f>+'PARTE DIC2021'!N58</f>
        <v>792</v>
      </c>
    </row>
    <row r="79" spans="2:5" hidden="1">
      <c r="B79" s="1007" t="str">
        <f>+'PARTE DIC2021'!D59</f>
        <v>CPMSIPI-RM Ipiales</v>
      </c>
      <c r="D79" s="815">
        <f>+'PARTE DIC2021'!E59</f>
        <v>888</v>
      </c>
      <c r="E79" s="815">
        <f>+'PARTE DIC2021'!N59</f>
        <v>421</v>
      </c>
    </row>
    <row r="80" spans="2:5" hidden="1">
      <c r="B80" s="1007" t="str">
        <f>+'PARTE DIC2021'!D60</f>
        <v>EPMSCLUN La Unión</v>
      </c>
      <c r="D80" s="815">
        <f>+'PARTE DIC2021'!E60</f>
        <v>84</v>
      </c>
      <c r="E80" s="815">
        <f>+'PARTE DIC2021'!N60</f>
        <v>81</v>
      </c>
    </row>
    <row r="81" spans="2:5" hidden="1">
      <c r="B81" s="1007" t="str">
        <f>+'PARTE DIC2021'!D61</f>
        <v>EPMSCTUQ Túquerres</v>
      </c>
      <c r="D81" s="815">
        <f>+'PARTE DIC2021'!E61</f>
        <v>88</v>
      </c>
      <c r="E81" s="815">
        <f>+'PARTE DIC2021'!N61</f>
        <v>119</v>
      </c>
    </row>
    <row r="82" spans="2:5" hidden="1">
      <c r="B82" s="1007" t="str">
        <f>+'PARTE DIC2021'!D62</f>
        <v>EPMSCTUM Tumaco</v>
      </c>
      <c r="D82" s="815">
        <f>+'PARTE DIC2021'!E62</f>
        <v>274</v>
      </c>
      <c r="E82" s="815">
        <f>+'PARTE DIC2021'!N62</f>
        <v>407</v>
      </c>
    </row>
    <row r="83" spans="2:5" hidden="1">
      <c r="B83" s="1007" t="str">
        <f>+'PARTE DIC2021'!D63</f>
        <v>CPAMSPAL Palmira</v>
      </c>
      <c r="D83" s="815">
        <f>+'PARTE DIC2021'!E63</f>
        <v>1257</v>
      </c>
      <c r="E83" s="815">
        <f>+'PARTE DIC2021'!N63</f>
        <v>2098</v>
      </c>
    </row>
    <row r="84" spans="2:5" s="1007" customFormat="1" hidden="1">
      <c r="B84" s="1007" t="str">
        <f>+'PARTE DIC2021'!D64</f>
        <v>EPMSCCAL-ERE Cali</v>
      </c>
      <c r="D84" s="815">
        <f>+'PARTE DIC2021'!E64</f>
        <v>2046</v>
      </c>
      <c r="E84" s="815">
        <f>+'PARTE DIC2021'!N64</f>
        <v>4572</v>
      </c>
    </row>
    <row r="85" spans="2:5" hidden="1">
      <c r="B85" s="1007" t="str">
        <f>+'PARTE DIC2021'!D65</f>
        <v>EPMSCBUG Buga</v>
      </c>
      <c r="D85" s="815">
        <f>+'PARTE DIC2021'!E65</f>
        <v>821</v>
      </c>
      <c r="E85" s="815">
        <f>+'PARTE DIC2021'!N65</f>
        <v>873</v>
      </c>
    </row>
    <row r="86" spans="2:5" hidden="1">
      <c r="B86" s="1007" t="str">
        <f>+'PARTE DIC2021'!D66</f>
        <v>EPMSCBUE Buenaventura</v>
      </c>
      <c r="D86" s="815">
        <f>+'PARTE DIC2021'!E66</f>
        <v>315</v>
      </c>
      <c r="E86" s="815">
        <f>+'PARTE DIC2021'!N66</f>
        <v>396</v>
      </c>
    </row>
    <row r="87" spans="2:5" hidden="1">
      <c r="B87" s="1007" t="str">
        <f>+'PARTE DIC2021'!D67</f>
        <v>CPMSTUL Tuluá</v>
      </c>
      <c r="D87" s="815">
        <f>+'PARTE DIC2021'!E67</f>
        <v>1078</v>
      </c>
      <c r="E87" s="815">
        <f>+'PARTE DIC2021'!N67</f>
        <v>1229</v>
      </c>
    </row>
    <row r="88" spans="2:5" hidden="1">
      <c r="B88" s="1007" t="str">
        <f>+'PARTE DIC2021'!D69</f>
        <v>EPMSCCAR Cartago</v>
      </c>
      <c r="D88" s="815">
        <f>+'PARTE DIC2021'!E69</f>
        <v>428</v>
      </c>
      <c r="E88" s="815">
        <f>+'PARTE DIC2021'!N69</f>
        <v>502</v>
      </c>
    </row>
    <row r="89" spans="2:5" hidden="1">
      <c r="B89" s="1007" t="str">
        <f>+'PARTE DIC2021'!D70</f>
        <v>EPMSCCAI Caicedonia</v>
      </c>
      <c r="D89" s="815">
        <f>+'PARTE DIC2021'!E70</f>
        <v>102</v>
      </c>
      <c r="E89" s="815">
        <f>+'PARTE DIC2021'!N70</f>
        <v>112</v>
      </c>
    </row>
    <row r="90" spans="2:5" hidden="1">
      <c r="B90" s="1007" t="str">
        <f>+'PARTE DIC2021'!D71</f>
        <v>EPMSCROL Roldanillo</v>
      </c>
      <c r="D90" s="815">
        <f>+'PARTE DIC2021'!E71</f>
        <v>0</v>
      </c>
      <c r="E90" s="815">
        <f>+'PARTE DIC2021'!N71</f>
        <v>0</v>
      </c>
    </row>
    <row r="91" spans="2:5" hidden="1">
      <c r="B91" s="1007" t="str">
        <f>+'PARTE DIC2021'!D72</f>
        <v>EPMSCSEV Sevilla</v>
      </c>
      <c r="D91" s="815">
        <f>+'PARTE DIC2021'!E72</f>
        <v>88</v>
      </c>
      <c r="E91" s="815">
        <f>+'PARTE DIC2021'!N72</f>
        <v>72</v>
      </c>
    </row>
    <row r="92" spans="2:5" hidden="1">
      <c r="B92" s="1007" t="str">
        <f>+'PARTE DIC2021'!D74</f>
        <v>CMSBA-JP Barranquilla</v>
      </c>
      <c r="D92" s="815">
        <f>+'PARTE DIC2021'!E74</f>
        <v>454</v>
      </c>
      <c r="E92" s="815">
        <f>+'PARTE DIC2021'!N74</f>
        <v>663</v>
      </c>
    </row>
    <row r="93" spans="2:5" hidden="1">
      <c r="B93" s="1007" t="str">
        <f>+'PARTE DIC2021'!D75</f>
        <v>CPMSSAB-ERE Sabanalarga</v>
      </c>
      <c r="D93" s="815">
        <f>+'PARTE DIC2021'!E75</f>
        <v>50</v>
      </c>
      <c r="E93" s="815">
        <f>+'PARTE DIC2021'!N75</f>
        <v>0</v>
      </c>
    </row>
    <row r="94" spans="2:5" hidden="1">
      <c r="B94" s="1007" t="str">
        <f>+'PARTE DIC2021'!D76</f>
        <v>EPMSCCAR Cartagena</v>
      </c>
      <c r="D94" s="815">
        <f>+'PARTE DIC2021'!E76</f>
        <v>1464</v>
      </c>
      <c r="E94" s="815">
        <f>+'PARTE DIC2021'!N76</f>
        <v>1798</v>
      </c>
    </row>
    <row r="95" spans="2:5" hidden="1">
      <c r="B95" s="1007" t="str">
        <f>+'PARTE DIC2021'!D77</f>
        <v>EPMSCMAG Magangué</v>
      </c>
      <c r="D95" s="815">
        <f>+'PARTE DIC2021'!E77</f>
        <v>72</v>
      </c>
      <c r="E95" s="815">
        <f>+'PARTE DIC2021'!N77</f>
        <v>91</v>
      </c>
    </row>
    <row r="96" spans="2:5" hidden="1">
      <c r="B96" s="1007" t="str">
        <f>+'PARTE DIC2021'!D78</f>
        <v>EPMSCVAL-ERE Valledupar</v>
      </c>
      <c r="D96" s="815">
        <f>+'PARTE DIC2021'!E78</f>
        <v>256</v>
      </c>
      <c r="E96" s="815">
        <f>+'PARTE DIC2021'!N78</f>
        <v>645</v>
      </c>
    </row>
    <row r="97" spans="2:5" hidden="1">
      <c r="B97" s="1007" t="str">
        <f>+'PARTE DIC2021'!D79</f>
        <v>EPMSCMON Montería</v>
      </c>
      <c r="D97" s="815">
        <f>+'PARTE DIC2021'!E79</f>
        <v>840</v>
      </c>
      <c r="E97" s="815">
        <f>+'PARTE DIC2021'!N79</f>
        <v>973</v>
      </c>
    </row>
    <row r="98" spans="2:5" hidden="1">
      <c r="B98" s="1007" t="str">
        <f>+'PARTE DIC2021'!D80</f>
        <v>EPMSCRIO Riohacha</v>
      </c>
      <c r="D98" s="815">
        <f>+'PARTE DIC2021'!E80</f>
        <v>100</v>
      </c>
      <c r="E98" s="815">
        <f>+'PARTE DIC2021'!N80</f>
        <v>250</v>
      </c>
    </row>
    <row r="99" spans="2:5" hidden="1">
      <c r="B99" s="1007" t="str">
        <f>+'PARTE DIC2021'!D81</f>
        <v>EPMSCSM Santa Marta</v>
      </c>
      <c r="D99" s="815">
        <f>+'PARTE DIC2021'!E81</f>
        <v>312</v>
      </c>
      <c r="E99" s="815">
        <f>+'PARTE DIC2021'!N81</f>
        <v>803</v>
      </c>
    </row>
    <row r="100" spans="2:5" hidden="1">
      <c r="B100" s="1007" t="str">
        <f>+'PARTE DIC2021'!D82</f>
        <v>EPMSCEBA El Banco</v>
      </c>
      <c r="D100" s="815">
        <f>+'PARTE DIC2021'!E82</f>
        <v>76</v>
      </c>
      <c r="E100" s="815">
        <f>+'PARTE DIC2021'!N82</f>
        <v>75</v>
      </c>
    </row>
    <row r="101" spans="2:5" hidden="1">
      <c r="B101" s="1007" t="str">
        <f>+'PARTE DIC2021'!D83</f>
        <v>EPMSCSA San Andrés</v>
      </c>
      <c r="D101" s="815">
        <f>+'PARTE DIC2021'!E83</f>
        <v>136</v>
      </c>
      <c r="E101" s="815">
        <f>+'PARTE DIC2021'!N83</f>
        <v>169</v>
      </c>
    </row>
    <row r="102" spans="2:5" hidden="1">
      <c r="B102" s="1007" t="str">
        <f>+'PARTE DIC2021'!D84</f>
        <v>EPMSCSIN Sincelejo</v>
      </c>
      <c r="D102" s="815">
        <f>+'PARTE DIC2021'!E84</f>
        <v>512</v>
      </c>
      <c r="E102" s="815">
        <f>+'PARTE DIC2021'!N84</f>
        <v>449</v>
      </c>
    </row>
    <row r="103" spans="2:5" hidden="1">
      <c r="B103" s="1007" t="str">
        <f>+'PARTE DIC2021'!D85</f>
        <v>CPMSCOR Corozal</v>
      </c>
      <c r="D103" s="815">
        <f>+'PARTE DIC2021'!E85</f>
        <v>45</v>
      </c>
      <c r="E103" s="815">
        <f>+'PARTE DIC2021'!N85</f>
        <v>0</v>
      </c>
    </row>
    <row r="104" spans="2:5" hidden="1">
      <c r="B104" s="1007" t="str">
        <f>+'PARTE DIC2021'!D86</f>
        <v>EPMSCBA-ERE Barranquilla</v>
      </c>
      <c r="D104" s="815">
        <f>+'PARTE DIC2021'!E86</f>
        <v>640</v>
      </c>
      <c r="E104" s="815">
        <f>+'PARTE DIC2021'!N86</f>
        <v>1073</v>
      </c>
    </row>
    <row r="105" spans="2:5" hidden="1">
      <c r="B105" s="1007" t="str">
        <f>+'PARTE DIC2021'!D88</f>
        <v>EPCTALT Tierralta</v>
      </c>
      <c r="D105" s="815">
        <f>+'PARTE DIC2021'!E88</f>
        <v>203</v>
      </c>
      <c r="E105" s="815">
        <f>+'PARTE DIC2021'!N88</f>
        <v>149</v>
      </c>
    </row>
    <row r="106" spans="2:5" hidden="1">
      <c r="B106" s="1007" t="str">
        <f>+'PARTE DIC2021'!D89</f>
        <v>EPMSCARA Arauca</v>
      </c>
      <c r="D106" s="815">
        <f>+'PARTE DIC2021'!E89</f>
        <v>212</v>
      </c>
      <c r="E106" s="815">
        <f>+'PARTE DIC2021'!N89</f>
        <v>334</v>
      </c>
    </row>
    <row r="107" spans="2:5" hidden="1">
      <c r="B107" s="1007" t="str">
        <f>+'PARTE DIC2021'!D90</f>
        <v>EPMSCAGU Aguachica</v>
      </c>
      <c r="D107" s="815">
        <f>+'PARTE DIC2021'!E90</f>
        <v>78</v>
      </c>
      <c r="E107" s="815">
        <f>+'PARTE DIC2021'!N90</f>
        <v>154</v>
      </c>
    </row>
    <row r="108" spans="2:5" hidden="1">
      <c r="B108" s="1007" t="str">
        <f>+'PARTE DIC2021'!D91</f>
        <v>EPMSCPAM Pamplona</v>
      </c>
      <c r="D108" s="815">
        <f>+'PARTE DIC2021'!E91</f>
        <v>280</v>
      </c>
      <c r="E108" s="815">
        <f>+'PARTE DIC2021'!N91</f>
        <v>303</v>
      </c>
    </row>
    <row r="109" spans="2:5" hidden="1">
      <c r="B109" s="1007" t="str">
        <f>+'PARTE DIC2021'!D92</f>
        <v>EPMSCOC Ocaña</v>
      </c>
      <c r="D109" s="815">
        <f>+'PARTE DIC2021'!E92</f>
        <v>198</v>
      </c>
      <c r="E109" s="815">
        <f>+'PARTE DIC2021'!N92</f>
        <v>365</v>
      </c>
    </row>
    <row r="110" spans="2:5" hidden="1">
      <c r="B110" s="1007" t="str">
        <f>+'PARTE DIC2021'!D93</f>
        <v>CPMSBUC-ERE-JP Bucaramanga</v>
      </c>
      <c r="D110" s="815">
        <f>+'PARTE DIC2021'!E93</f>
        <v>1520</v>
      </c>
      <c r="E110" s="815">
        <f>+'PARTE DIC2021'!N93</f>
        <v>1609</v>
      </c>
    </row>
    <row r="111" spans="2:5" s="690" customFormat="1" hidden="1">
      <c r="B111" s="1007" t="str">
        <f>+'PARTE DIC2021'!D94</f>
        <v>EPMSCBBJ Barrancabermeja</v>
      </c>
      <c r="D111" s="815">
        <f>+'PARTE DIC2021'!E94</f>
        <v>185</v>
      </c>
      <c r="E111" s="815">
        <f>+'PARTE DIC2021'!N94</f>
        <v>203</v>
      </c>
    </row>
    <row r="112" spans="2:5" hidden="1">
      <c r="B112" s="1007" t="str">
        <f>+'PARTE DIC2021'!D95</f>
        <v>EPMSCMAL Málaga</v>
      </c>
      <c r="D112" s="815">
        <f>+'PARTE DIC2021'!E95</f>
        <v>60</v>
      </c>
      <c r="E112" s="815">
        <f>+'PARTE DIC2021'!N95</f>
        <v>86</v>
      </c>
    </row>
    <row r="113" spans="2:5" hidden="1">
      <c r="B113" s="1007" t="str">
        <f>+'PARTE DIC2021'!D96</f>
        <v>EPMSSGI San Gil</v>
      </c>
      <c r="D113" s="815">
        <f>+'PARTE DIC2021'!E96</f>
        <v>262</v>
      </c>
      <c r="E113" s="815">
        <f>+'PARTE DIC2021'!N96</f>
        <v>296</v>
      </c>
    </row>
    <row r="114" spans="2:5" hidden="1">
      <c r="B114" s="1007" t="str">
        <f>+'PARTE DIC2021'!D97</f>
        <v>EPMSCSOC Socorro</v>
      </c>
      <c r="D114" s="815">
        <f>+'PARTE DIC2021'!E97</f>
        <v>318</v>
      </c>
      <c r="E114" s="815">
        <f>+'PARTE DIC2021'!N97</f>
        <v>491</v>
      </c>
    </row>
    <row r="115" spans="2:5" hidden="1">
      <c r="B115" s="1007" t="str">
        <f>+'PARTE DIC2021'!D98</f>
        <v>CPMSSVC San Vicente de Chucurí</v>
      </c>
      <c r="D115" s="815">
        <f>+'PARTE DIC2021'!E98</f>
        <v>56</v>
      </c>
      <c r="E115" s="815">
        <f>+'PARTE DIC2021'!N98</f>
        <v>58</v>
      </c>
    </row>
    <row r="116" spans="2:5" hidden="1">
      <c r="B116" s="1007" t="str">
        <f>+'PARTE DIC2021'!D99</f>
        <v>EPMSCVEL Vélez</v>
      </c>
      <c r="D116" s="815">
        <f>+'PARTE DIC2021'!E99</f>
        <v>192</v>
      </c>
      <c r="E116" s="815">
        <f>+'PARTE DIC2021'!N99</f>
        <v>253</v>
      </c>
    </row>
    <row r="117" spans="2:5" hidden="1">
      <c r="B117" s="1007" t="str">
        <f>+'PARTE DIC2021'!D100</f>
        <v>CPMSMBUC Bucaramanga</v>
      </c>
      <c r="D117" s="815">
        <f>+'PARTE DIC2021'!E100</f>
        <v>247</v>
      </c>
      <c r="E117" s="815">
        <f>+'PARTE DIC2021'!N100</f>
        <v>232</v>
      </c>
    </row>
    <row r="118" spans="2:5" hidden="1">
      <c r="B118" s="1007" t="str">
        <f>+'PARTE DIC2021'!D103</f>
        <v>CPAMSPA-ERE La Paz</v>
      </c>
      <c r="D118" s="815">
        <f>+'PARTE DIC2021'!E103</f>
        <v>375</v>
      </c>
      <c r="E118" s="815">
        <f>+'PARTE DIC2021'!N103</f>
        <v>1082</v>
      </c>
    </row>
    <row r="119" spans="2:5" hidden="1">
      <c r="B119" s="1007" t="str">
        <f>+'PARTE DIC2021'!D104</f>
        <v>CPMSBEL Bello</v>
      </c>
      <c r="D119" s="815">
        <f>+'PARTE DIC2021'!E104</f>
        <v>1368</v>
      </c>
      <c r="E119" s="815">
        <f>+'PARTE DIC2021'!N104</f>
        <v>2509</v>
      </c>
    </row>
    <row r="120" spans="2:5" hidden="1">
      <c r="B120" s="1007" t="str">
        <f>+'PARTE DIC2021'!D105</f>
        <v>EPMSCAND Andes</v>
      </c>
      <c r="D120" s="815">
        <f>+'PARTE DIC2021'!E105</f>
        <v>168</v>
      </c>
      <c r="E120" s="815">
        <f>+'PARTE DIC2021'!N105</f>
        <v>402</v>
      </c>
    </row>
    <row r="121" spans="2:5" hidden="1">
      <c r="B121" s="1007" t="str">
        <f>+'PARTE DIC2021'!D106</f>
        <v>EPMSCBOV Bolívar -Antioquia</v>
      </c>
      <c r="D121" s="815">
        <f>+'PARTE DIC2021'!E106</f>
        <v>124</v>
      </c>
      <c r="E121" s="815">
        <f>+'PARTE DIC2021'!N106</f>
        <v>134</v>
      </c>
    </row>
    <row r="122" spans="2:5" hidden="1">
      <c r="B122" s="1007" t="str">
        <f>+'PARTE DIC2021'!D107</f>
        <v>EPMSCCAU Caucasia</v>
      </c>
      <c r="D122" s="815">
        <f>+'PARTE DIC2021'!E107</f>
        <v>63</v>
      </c>
      <c r="E122" s="815">
        <f>+'PARTE DIC2021'!N107</f>
        <v>138</v>
      </c>
    </row>
    <row r="123" spans="2:5" hidden="1">
      <c r="B123" s="1007" t="str">
        <f>+'PARTE DIC2021'!D108</f>
        <v>CPMSJER Jerico</v>
      </c>
      <c r="D123" s="815">
        <f>+'PARTE DIC2021'!E108</f>
        <v>83</v>
      </c>
      <c r="E123" s="815">
        <f>+'PARTE DIC2021'!N108</f>
        <v>99</v>
      </c>
    </row>
    <row r="124" spans="2:5" hidden="1">
      <c r="B124" s="1007" t="str">
        <f>+'PARTE DIC2021'!D109</f>
        <v>EPMSCLCJ La Ceja</v>
      </c>
      <c r="D124" s="815">
        <f>+'PARTE DIC2021'!E109</f>
        <v>114</v>
      </c>
      <c r="E124" s="815">
        <f>+'PARTE DIC2021'!N109</f>
        <v>233</v>
      </c>
    </row>
    <row r="125" spans="2:5" hidden="1">
      <c r="B125" s="1007" t="str">
        <f>+'PARTE DIC2021'!D110</f>
        <v>EPMSCPBE Puerto Berrio</v>
      </c>
      <c r="D125" s="815">
        <f>+'PARTE DIC2021'!E110</f>
        <v>150</v>
      </c>
      <c r="E125" s="815">
        <f>+'PARTE DIC2021'!N110</f>
        <v>254</v>
      </c>
    </row>
    <row r="126" spans="2:5" hidden="1">
      <c r="B126" s="1007" t="str">
        <f>+'PARTE DIC2021'!D111</f>
        <v>EPMSCSBA Santa Bárbara</v>
      </c>
      <c r="D126" s="815">
        <f>+'PARTE DIC2021'!E111</f>
        <v>50</v>
      </c>
      <c r="E126" s="815">
        <f>+'PARTE DIC2021'!N111</f>
        <v>131</v>
      </c>
    </row>
    <row r="127" spans="2:5" hidden="1">
      <c r="B127" s="1007" t="str">
        <f>+'PARTE DIC2021'!D112</f>
        <v>CPMSSDO Santo Domingo</v>
      </c>
      <c r="D127" s="815">
        <f>+'PARTE DIC2021'!E112</f>
        <v>115</v>
      </c>
      <c r="E127" s="815">
        <f>+'PARTE DIC2021'!N112</f>
        <v>142</v>
      </c>
    </row>
    <row r="128" spans="2:5" hidden="1">
      <c r="B128" s="1007" t="str">
        <f>+'PARTE DIC2021'!D113</f>
        <v>EPMSCSRO Santa Rosa de Osos</v>
      </c>
      <c r="D128" s="815">
        <f>+'PARTE DIC2021'!E113</f>
        <v>76</v>
      </c>
      <c r="E128" s="815">
        <f>+'PARTE DIC2021'!N113</f>
        <v>111</v>
      </c>
    </row>
    <row r="129" spans="2:28" hidden="1">
      <c r="B129" s="1007" t="str">
        <f>+'PARTE DIC2021'!D114</f>
        <v>EPMSCSON Sonson</v>
      </c>
      <c r="D129" s="815">
        <f>+'PARTE DIC2021'!E114</f>
        <v>75</v>
      </c>
      <c r="E129" s="815">
        <f>+'PARTE DIC2021'!N114</f>
        <v>114</v>
      </c>
    </row>
    <row r="130" spans="2:28" hidden="1">
      <c r="B130" s="1007" t="str">
        <f>+'PARTE DIC2021'!D115</f>
        <v>EPMSCTAM Támesis</v>
      </c>
      <c r="D130" s="815">
        <f>+'PARTE DIC2021'!E115</f>
        <v>62</v>
      </c>
      <c r="E130" s="815">
        <f>+'PARTE DIC2021'!N115</f>
        <v>85</v>
      </c>
    </row>
    <row r="131" spans="2:28" hidden="1">
      <c r="B131" s="1007" t="str">
        <f>+'PARTE DIC2021'!D116</f>
        <v>EPMSCYAR Yarumal</v>
      </c>
      <c r="D131" s="815">
        <f>+'PARTE DIC2021'!E116</f>
        <v>191</v>
      </c>
      <c r="E131" s="815">
        <f>+'PARTE DIC2021'!N116</f>
        <v>196</v>
      </c>
    </row>
    <row r="132" spans="2:28" hidden="1">
      <c r="B132" s="1007" t="str">
        <f>+'PARTE DIC2021'!D117</f>
        <v>EPMSCQUI Quibdó</v>
      </c>
      <c r="D132" s="815">
        <f>+'PARTE DIC2021'!E117</f>
        <v>286</v>
      </c>
      <c r="E132" s="815">
        <f>+'PARTE DIC2021'!N117</f>
        <v>403</v>
      </c>
    </row>
    <row r="133" spans="2:28" hidden="1">
      <c r="B133" s="1007" t="str">
        <f>+'PARTE DIC2021'!D118</f>
        <v>CPMSAPD Apartadó</v>
      </c>
      <c r="D133" s="815">
        <f>+'PARTE DIC2021'!E118</f>
        <v>296</v>
      </c>
      <c r="E133" s="815">
        <f>+'PARTE DIC2021'!N118</f>
        <v>693</v>
      </c>
      <c r="G133" s="121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</row>
    <row r="134" spans="2:28" hidden="1">
      <c r="B134" s="1007" t="str">
        <f>+'PARTE DIC2021'!D119</f>
        <v>EPMSCIST Istmina</v>
      </c>
      <c r="D134" s="815">
        <f>+'PARTE DIC2021'!E119</f>
        <v>81</v>
      </c>
      <c r="E134" s="815">
        <f>+'PARTE DIC2021'!N119</f>
        <v>80</v>
      </c>
    </row>
    <row r="135" spans="2:28" hidden="1">
      <c r="B135" s="1007" t="str">
        <f>+'PARTE DIC2021'!D122</f>
        <v>EPMSCMAN Manizales</v>
      </c>
      <c r="D135" s="815">
        <f>+'PARTE DIC2021'!E122</f>
        <v>627</v>
      </c>
      <c r="E135" s="815">
        <f>+'PARTE DIC2021'!N122</f>
        <v>996</v>
      </c>
    </row>
    <row r="136" spans="2:28" hidden="1">
      <c r="B136" s="1007" t="str">
        <f>+'PARTE DIC2021'!D123</f>
        <v>EPMSCANS Anserma</v>
      </c>
      <c r="D136" s="815">
        <f>+'PARTE DIC2021'!E123</f>
        <v>128</v>
      </c>
      <c r="E136" s="815">
        <f>+'PARTE DIC2021'!N123</f>
        <v>224</v>
      </c>
    </row>
    <row r="137" spans="2:28" hidden="1">
      <c r="B137" s="1007" t="str">
        <f>+'PARTE DIC2021'!D124</f>
        <v>EPMSCAGD Aguadas</v>
      </c>
      <c r="D137" s="815">
        <f>+'PARTE DIC2021'!E124</f>
        <v>0</v>
      </c>
      <c r="E137" s="815">
        <f>+'PARTE DIC2021'!N124</f>
        <v>0</v>
      </c>
    </row>
    <row r="138" spans="2:28" hidden="1">
      <c r="B138" s="1007" t="str">
        <f>+'PARTE DIC2021'!D125</f>
        <v>EPMSCPAR Pácora</v>
      </c>
      <c r="D138" s="815">
        <f>+'PARTE DIC2021'!E125</f>
        <v>58</v>
      </c>
      <c r="E138" s="815">
        <f>+'PARTE DIC2021'!N125</f>
        <v>67</v>
      </c>
    </row>
    <row r="139" spans="2:28" hidden="1">
      <c r="B139" s="1007" t="str">
        <f>+'PARTE DIC2021'!D126</f>
        <v>EPMSCPEN Pensilvania</v>
      </c>
      <c r="D139" s="815">
        <f>+'PARTE DIC2021'!E126</f>
        <v>56</v>
      </c>
      <c r="E139" s="815">
        <f>+'PARTE DIC2021'!N126</f>
        <v>93</v>
      </c>
    </row>
    <row r="140" spans="2:28" hidden="1">
      <c r="B140" s="1007" t="str">
        <f>+'PARTE DIC2021'!D127</f>
        <v>EPMSCRIS Riosucio</v>
      </c>
      <c r="D140" s="815">
        <f>+'PARTE DIC2021'!E127</f>
        <v>54</v>
      </c>
      <c r="E140" s="815">
        <f>+'PARTE DIC2021'!N127</f>
        <v>96</v>
      </c>
    </row>
    <row r="141" spans="2:28" hidden="1">
      <c r="B141" s="1007" t="str">
        <f>+'PARTE DIC2021'!D128</f>
        <v>EPMSCSAL Salamina</v>
      </c>
      <c r="D141" s="815">
        <f>+'PARTE DIC2021'!E128</f>
        <v>166</v>
      </c>
      <c r="E141" s="815">
        <f>+'PARTE DIC2021'!N128</f>
        <v>199</v>
      </c>
    </row>
    <row r="142" spans="2:28" hidden="1">
      <c r="B142" s="1007" t="str">
        <f>+'PARTE DIC2021'!D129</f>
        <v>RMMAN Manizales</v>
      </c>
      <c r="D142" s="815">
        <f>+'PARTE DIC2021'!E129</f>
        <v>128</v>
      </c>
      <c r="E142" s="815">
        <f>+'PARTE DIC2021'!N129</f>
        <v>166</v>
      </c>
    </row>
    <row r="143" spans="2:28" hidden="1">
      <c r="B143" s="1007" t="str">
        <f>+'PARTE DIC2021'!D130</f>
        <v>EPMSCCAL Calarcá</v>
      </c>
      <c r="D143" s="815">
        <f>+'PARTE DIC2021'!E130</f>
        <v>950</v>
      </c>
      <c r="E143" s="815">
        <f>+'PARTE DIC2021'!N130</f>
        <v>906</v>
      </c>
    </row>
    <row r="144" spans="2:28" hidden="1">
      <c r="B144" s="1007" t="str">
        <f>+'PARTE DIC2021'!D131</f>
        <v>EPMSCARM Armenia</v>
      </c>
      <c r="D144" s="815">
        <f>+'PARTE DIC2021'!E131</f>
        <v>350</v>
      </c>
      <c r="E144" s="815">
        <f>+'PARTE DIC2021'!N131</f>
        <v>449</v>
      </c>
    </row>
    <row r="145" spans="2:15" hidden="1">
      <c r="B145" s="1007" t="str">
        <f>+'PARTE DIC2021'!D132</f>
        <v>RMARM Armenia</v>
      </c>
      <c r="D145" s="815">
        <f>+'PARTE DIC2021'!E132</f>
        <v>156</v>
      </c>
      <c r="E145" s="815">
        <f>+'PARTE DIC2021'!N132</f>
        <v>184</v>
      </c>
    </row>
    <row r="146" spans="2:15" hidden="1">
      <c r="B146" s="1007" t="str">
        <f>+'PARTE DIC2021'!D133</f>
        <v>EPMSCPEI-ERE Pereira</v>
      </c>
      <c r="D146" s="815">
        <f>+'PARTE DIC2021'!E133</f>
        <v>649</v>
      </c>
      <c r="E146" s="815">
        <f>+'PARTE DIC2021'!N133</f>
        <v>818</v>
      </c>
    </row>
    <row r="147" spans="2:15" hidden="1">
      <c r="B147" s="1007" t="str">
        <f>+'PARTE DIC2021'!D134</f>
        <v>EPMSCSRC Santa Rosa de Cabal</v>
      </c>
      <c r="D147" s="815">
        <f>+'PARTE DIC2021'!E134</f>
        <v>178</v>
      </c>
      <c r="E147" s="815">
        <f>+'PARTE DIC2021'!N134</f>
        <v>232</v>
      </c>
    </row>
    <row r="148" spans="2:15" hidden="1">
      <c r="B148" s="1007" t="str">
        <f>+'PARTE DIC2021'!D135</f>
        <v>RMPEI Pereira</v>
      </c>
      <c r="D148" s="815">
        <f>+'PARTE DIC2021'!E135</f>
        <v>305</v>
      </c>
      <c r="E148" s="815">
        <f>+'PARTE DIC2021'!N135</f>
        <v>287</v>
      </c>
    </row>
    <row r="149" spans="2:15" hidden="1">
      <c r="B149" s="1007" t="str">
        <f>+'PARTE DIC2021'!D136</f>
        <v>EPMSCARG Armero Guayabal</v>
      </c>
      <c r="D149" s="815">
        <f>+'PARTE DIC2021'!E136</f>
        <v>40</v>
      </c>
      <c r="E149" s="815">
        <f>+'PARTE DIC2021'!N136</f>
        <v>0</v>
      </c>
    </row>
    <row r="150" spans="2:15" hidden="1">
      <c r="B150" s="1007" t="str">
        <f>+'PARTE DIC2021'!D137</f>
        <v>EPMSCFRN Fresno</v>
      </c>
      <c r="D150" s="815">
        <f>+'PARTE DIC2021'!E137</f>
        <v>88</v>
      </c>
      <c r="E150" s="815">
        <f>+'PARTE DIC2021'!N137</f>
        <v>120</v>
      </c>
    </row>
    <row r="151" spans="2:15" hidden="1">
      <c r="B151" s="1007" t="str">
        <f>+'PARTE DIC2021'!D138</f>
        <v>EPMSCHON Honda</v>
      </c>
      <c r="D151" s="815">
        <f>+'PARTE DIC2021'!E138</f>
        <v>208</v>
      </c>
      <c r="E151" s="815">
        <f>+'PARTE DIC2021'!N138</f>
        <v>313</v>
      </c>
    </row>
    <row r="152" spans="2:15" hidden="1">
      <c r="B152" s="1007" t="str">
        <f>+'PARTE DIC2021'!D139</f>
        <v>EPMSCLIB Líbano</v>
      </c>
      <c r="D152" s="815">
        <f>+'PARTE DIC2021'!E139</f>
        <v>99</v>
      </c>
      <c r="E152" s="815">
        <f>+'PARTE DIC2021'!N139</f>
        <v>90</v>
      </c>
    </row>
    <row r="153" spans="2:15" hidden="1">
      <c r="B153" s="1007" t="str">
        <f>+'PARTE DIC2021'!D140</f>
        <v>EPMSCPBO Puerto Boyacá</v>
      </c>
      <c r="D153" s="815">
        <f>+'PARTE DIC2021'!E140</f>
        <v>120</v>
      </c>
      <c r="E153" s="815">
        <f>+'PARTE DIC2021'!N140</f>
        <v>190</v>
      </c>
    </row>
    <row r="154" spans="2:15" hidden="1">
      <c r="B154" s="1007"/>
      <c r="D154" s="120">
        <f>SUM(D36:D153)</f>
        <v>40164</v>
      </c>
      <c r="E154" s="120">
        <f>SUM(E36:E153)</f>
        <v>53499</v>
      </c>
    </row>
    <row r="155" spans="2:15" ht="20.25">
      <c r="L155" s="9"/>
      <c r="M155" s="9"/>
      <c r="N155" s="9"/>
    </row>
    <row r="156" spans="2:15" ht="21" thickBot="1">
      <c r="L156" s="9"/>
      <c r="M156" s="9"/>
      <c r="N156" s="9"/>
    </row>
    <row r="157" spans="2:15" s="1007" customFormat="1" ht="21" customHeight="1">
      <c r="B157" s="1161" t="s">
        <v>37</v>
      </c>
      <c r="C157" s="1162" t="s">
        <v>57</v>
      </c>
      <c r="D157" s="1814" t="s">
        <v>799</v>
      </c>
      <c r="E157" s="1815"/>
      <c r="F157" s="1815"/>
      <c r="G157" s="1815"/>
      <c r="H157" s="1815"/>
      <c r="I157" s="1816"/>
      <c r="J157" s="218"/>
      <c r="K157" s="218"/>
      <c r="L157" s="9"/>
      <c r="M157" s="9"/>
      <c r="N157" s="9"/>
      <c r="O157" s="1008"/>
    </row>
    <row r="158" spans="2:15" s="1007" customFormat="1" ht="63" customHeight="1">
      <c r="B158" s="1163" t="s">
        <v>800</v>
      </c>
      <c r="C158" s="1164">
        <v>118</v>
      </c>
      <c r="D158" s="1817" t="s">
        <v>804</v>
      </c>
      <c r="E158" s="1818"/>
      <c r="F158" s="1818"/>
      <c r="G158" s="1818"/>
      <c r="H158" s="1818"/>
      <c r="I158" s="1819"/>
      <c r="J158" s="218"/>
      <c r="K158" s="218"/>
      <c r="L158" s="9"/>
      <c r="M158" s="9"/>
      <c r="N158" s="9"/>
      <c r="O158" s="1008"/>
    </row>
    <row r="159" spans="2:15" s="1007" customFormat="1" ht="93.75" customHeight="1">
      <c r="B159" s="1165" t="s">
        <v>801</v>
      </c>
      <c r="C159" s="1166">
        <v>5</v>
      </c>
      <c r="D159" s="1820" t="s">
        <v>805</v>
      </c>
      <c r="E159" s="1821"/>
      <c r="F159" s="1821"/>
      <c r="G159" s="1821"/>
      <c r="H159" s="1821"/>
      <c r="I159" s="1822"/>
      <c r="J159" s="218"/>
      <c r="K159" s="218"/>
      <c r="L159" s="9"/>
      <c r="M159" s="9"/>
      <c r="N159" s="9"/>
      <c r="O159" s="1008"/>
    </row>
    <row r="160" spans="2:15" s="1007" customFormat="1" ht="102" customHeight="1" thickBot="1">
      <c r="B160" s="1167" t="s">
        <v>802</v>
      </c>
      <c r="C160" s="1168">
        <v>10</v>
      </c>
      <c r="D160" s="1823" t="s">
        <v>806</v>
      </c>
      <c r="E160" s="1824"/>
      <c r="F160" s="1824"/>
      <c r="G160" s="1824"/>
      <c r="H160" s="1824"/>
      <c r="I160" s="1825"/>
      <c r="J160" s="218"/>
      <c r="K160" s="218"/>
      <c r="L160" s="9"/>
      <c r="M160" s="9"/>
      <c r="N160" s="9"/>
      <c r="O160" s="1008"/>
    </row>
    <row r="161" spans="2:15" s="1007" customFormat="1" ht="20.25">
      <c r="B161" s="1169"/>
      <c r="C161" s="1169"/>
      <c r="D161" s="1169"/>
      <c r="E161" s="1169"/>
      <c r="F161" s="1169"/>
      <c r="G161" s="1169"/>
      <c r="H161" s="218"/>
      <c r="I161" s="218"/>
      <c r="J161" s="218"/>
      <c r="K161" s="218"/>
      <c r="L161" s="9"/>
      <c r="M161" s="9"/>
      <c r="N161" s="9"/>
      <c r="O161" s="1008"/>
    </row>
    <row r="162" spans="2:15" ht="20.25">
      <c r="L162" s="9"/>
      <c r="M162" s="9"/>
      <c r="N162" s="9"/>
    </row>
    <row r="163" spans="2:15" ht="20.25">
      <c r="L163" s="9"/>
      <c r="M163" s="9"/>
      <c r="N163" s="9"/>
    </row>
    <row r="164" spans="2:15" ht="20.25">
      <c r="L164" s="9"/>
      <c r="M164" s="9"/>
      <c r="N164" s="9"/>
    </row>
    <row r="165" spans="2:15" ht="20.25">
      <c r="L165" s="9"/>
      <c r="M165" s="9"/>
      <c r="N165" s="9"/>
    </row>
  </sheetData>
  <mergeCells count="31">
    <mergeCell ref="D157:I157"/>
    <mergeCell ref="D158:I158"/>
    <mergeCell ref="D159:I159"/>
    <mergeCell ref="D160:I160"/>
    <mergeCell ref="B23:C23"/>
    <mergeCell ref="B29:C29"/>
    <mergeCell ref="B30:C30"/>
    <mergeCell ref="B31:C31"/>
    <mergeCell ref="B32:C32"/>
    <mergeCell ref="B24:C24"/>
    <mergeCell ref="B25:C25"/>
    <mergeCell ref="B26:C26"/>
    <mergeCell ref="B27:C27"/>
    <mergeCell ref="B28:C28"/>
    <mergeCell ref="B16:C16"/>
    <mergeCell ref="B17:C17"/>
    <mergeCell ref="B18:C18"/>
    <mergeCell ref="B19:C19"/>
    <mergeCell ref="B20:C20"/>
    <mergeCell ref="B3:J3"/>
    <mergeCell ref="B11:E11"/>
    <mergeCell ref="B5:B6"/>
    <mergeCell ref="F5:F6"/>
    <mergeCell ref="D5:D6"/>
    <mergeCell ref="B10:C10"/>
    <mergeCell ref="E5:E6"/>
    <mergeCell ref="J5:J6"/>
    <mergeCell ref="C5:C6"/>
    <mergeCell ref="H5:H6"/>
    <mergeCell ref="G5:G6"/>
    <mergeCell ref="I5:I6"/>
  </mergeCells>
  <conditionalFormatting sqref="B36:B154">
    <cfRule type="duplicateValues" dxfId="10" priority="52"/>
  </conditionalFormatting>
  <pageMargins left="0.7" right="0.7" top="0.75" bottom="0.75" header="0.3" footer="0.3"/>
  <pageSetup paperSize="9" orientation="portrait" r:id="rId1"/>
  <ignoredErrors>
    <ignoredError sqref="G7 G10 I10:J10 G9 G8 I8:J8 I9:J9 I7:J7" evalError="1"/>
    <ignoredError sqref="C9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9900"/>
  </sheetPr>
  <dimension ref="A1:AB146"/>
  <sheetViews>
    <sheetView showGridLines="0" zoomScale="80" zoomScaleNormal="80" workbookViewId="0">
      <selection activeCell="F73" sqref="F73"/>
    </sheetView>
  </sheetViews>
  <sheetFormatPr baseColWidth="10" defaultRowHeight="12.75"/>
  <cols>
    <col min="1" max="1" width="19.42578125" style="22" customWidth="1"/>
    <col min="2" max="2" width="19.42578125" style="23" customWidth="1"/>
    <col min="3" max="3" width="19.42578125" style="24" customWidth="1"/>
    <col min="4" max="5" width="19.42578125" style="20" customWidth="1"/>
    <col min="6" max="7" width="17.28515625" style="20" customWidth="1"/>
    <col min="8" max="13" width="26.42578125" style="20" customWidth="1"/>
    <col min="14" max="18" width="11.42578125" style="20"/>
    <col min="19" max="19" width="8.42578125" style="20" customWidth="1"/>
    <col min="20" max="16384" width="11.42578125" style="20"/>
  </cols>
  <sheetData>
    <row r="1" spans="1:7" ht="37.5" customHeight="1"/>
    <row r="2" spans="1:7" s="19" customFormat="1" ht="14.25">
      <c r="A2" s="1793" t="s">
        <v>724</v>
      </c>
      <c r="B2" s="1793"/>
      <c r="C2" s="1793"/>
      <c r="D2" s="1793"/>
      <c r="E2" s="1793"/>
    </row>
    <row r="3" spans="1:7" s="19" customFormat="1" ht="15" thickBot="1">
      <c r="A3" s="25"/>
      <c r="B3" s="26"/>
    </row>
    <row r="4" spans="1:7" s="19" customFormat="1" ht="33" customHeight="1" thickBot="1">
      <c r="A4" s="634" t="s">
        <v>0</v>
      </c>
      <c r="B4" s="657" t="s">
        <v>1</v>
      </c>
      <c r="C4" s="657" t="s">
        <v>58</v>
      </c>
      <c r="D4" s="657" t="s">
        <v>57</v>
      </c>
      <c r="E4" s="658" t="s">
        <v>94</v>
      </c>
      <c r="G4" s="19" t="s">
        <v>51</v>
      </c>
    </row>
    <row r="5" spans="1:7" s="19" customFormat="1" ht="15.75" customHeight="1">
      <c r="A5" s="153" t="s">
        <v>136</v>
      </c>
      <c r="B5" s="516">
        <v>9</v>
      </c>
      <c r="C5" s="516">
        <v>38</v>
      </c>
      <c r="D5" s="516">
        <v>42</v>
      </c>
      <c r="E5" s="517">
        <f>+D5/D11</f>
        <v>0.31578947368421051</v>
      </c>
    </row>
    <row r="6" spans="1:7" s="19" customFormat="1" ht="15.75" customHeight="1">
      <c r="A6" s="154" t="s">
        <v>59</v>
      </c>
      <c r="B6" s="518">
        <v>3</v>
      </c>
      <c r="C6" s="518">
        <v>21</v>
      </c>
      <c r="D6" s="518">
        <v>22</v>
      </c>
      <c r="E6" s="519">
        <f>+D6/D11</f>
        <v>0.16541353383458646</v>
      </c>
    </row>
    <row r="7" spans="1:7" s="19" customFormat="1" ht="15.75" customHeight="1">
      <c r="A7" s="155" t="s">
        <v>60</v>
      </c>
      <c r="B7" s="520">
        <v>8</v>
      </c>
      <c r="C7" s="520">
        <v>13</v>
      </c>
      <c r="D7" s="520">
        <v>15</v>
      </c>
      <c r="E7" s="521">
        <f>+D7/D11</f>
        <v>0.11278195488721804</v>
      </c>
    </row>
    <row r="8" spans="1:7" s="19" customFormat="1" ht="15.75" customHeight="1">
      <c r="A8" s="154" t="s">
        <v>137</v>
      </c>
      <c r="B8" s="518">
        <v>4</v>
      </c>
      <c r="C8" s="518">
        <v>13</v>
      </c>
      <c r="D8" s="518">
        <v>14</v>
      </c>
      <c r="E8" s="519">
        <f>+D8/D11</f>
        <v>0.10526315789473684</v>
      </c>
    </row>
    <row r="9" spans="1:7" s="19" customFormat="1" ht="15.75" customHeight="1">
      <c r="A9" s="155" t="s">
        <v>61</v>
      </c>
      <c r="B9" s="520">
        <v>3</v>
      </c>
      <c r="C9" s="520">
        <v>19</v>
      </c>
      <c r="D9" s="520">
        <v>19</v>
      </c>
      <c r="E9" s="521">
        <f>+D9/D11</f>
        <v>0.14285714285714285</v>
      </c>
    </row>
    <row r="10" spans="1:7" s="19" customFormat="1" ht="15.75" customHeight="1" thickBot="1">
      <c r="A10" s="156" t="s">
        <v>138</v>
      </c>
      <c r="B10" s="522">
        <v>5</v>
      </c>
      <c r="C10" s="522">
        <v>18</v>
      </c>
      <c r="D10" s="522">
        <v>21</v>
      </c>
      <c r="E10" s="523">
        <f>+D10/D11</f>
        <v>0.15789473684210525</v>
      </c>
    </row>
    <row r="11" spans="1:7" s="19" customFormat="1" ht="21.75" customHeight="1" thickBot="1">
      <c r="A11" s="152" t="s">
        <v>6</v>
      </c>
      <c r="B11" s="659"/>
      <c r="C11" s="531">
        <f>SUM(C5:C10)</f>
        <v>122</v>
      </c>
      <c r="D11" s="531">
        <f>SUM(D5:D10)</f>
        <v>133</v>
      </c>
      <c r="E11" s="534">
        <f>SUM(E5:E10)</f>
        <v>1</v>
      </c>
    </row>
    <row r="12" spans="1:7">
      <c r="A12" s="21"/>
    </row>
    <row r="13" spans="1:7" s="19" customFormat="1" ht="14.25">
      <c r="A13" s="1826" t="s">
        <v>93</v>
      </c>
      <c r="B13" s="1826"/>
      <c r="C13" s="1826"/>
      <c r="D13" s="1826"/>
      <c r="E13" s="1826"/>
    </row>
    <row r="14" spans="1:7" s="19" customFormat="1" ht="26.25" customHeight="1">
      <c r="A14" s="1827" t="s">
        <v>132</v>
      </c>
      <c r="B14" s="1827"/>
      <c r="C14" s="1827"/>
      <c r="D14" s="1827"/>
      <c r="E14" s="1827"/>
    </row>
    <row r="15" spans="1:7" s="19" customFormat="1" ht="33.75" customHeight="1">
      <c r="A15" s="1827" t="s">
        <v>133</v>
      </c>
      <c r="B15" s="1827"/>
      <c r="C15" s="1827"/>
      <c r="D15" s="1827"/>
      <c r="E15" s="1827"/>
    </row>
    <row r="16" spans="1:7" ht="9" customHeight="1"/>
    <row r="17" hidden="1"/>
    <row r="18" ht="4.5" customHeight="1"/>
    <row r="22" ht="18.75" customHeight="1"/>
    <row r="146" spans="7:28">
      <c r="G146" s="119">
        <f>SUM(G10:G145)</f>
        <v>0</v>
      </c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</row>
  </sheetData>
  <mergeCells count="4">
    <mergeCell ref="A13:E13"/>
    <mergeCell ref="A15:E15"/>
    <mergeCell ref="A2:E2"/>
    <mergeCell ref="A14:E1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009900"/>
  </sheetPr>
  <dimension ref="A2:O218"/>
  <sheetViews>
    <sheetView showGridLines="0" topLeftCell="A172" zoomScale="70" zoomScaleNormal="70" workbookViewId="0">
      <selection activeCell="J43" sqref="J43"/>
    </sheetView>
  </sheetViews>
  <sheetFormatPr baseColWidth="10" defaultRowHeight="12.75"/>
  <cols>
    <col min="1" max="1" width="47.7109375" style="22" customWidth="1"/>
    <col min="2" max="2" width="13.7109375" style="23" customWidth="1"/>
    <col min="3" max="3" width="5.7109375" style="258" customWidth="1"/>
    <col min="4" max="4" width="8.85546875" style="24" customWidth="1"/>
    <col min="5" max="5" width="1.7109375" style="24" customWidth="1"/>
    <col min="6" max="6" width="47.7109375" style="20" customWidth="1"/>
    <col min="7" max="7" width="13.7109375" style="20" customWidth="1"/>
    <col min="8" max="8" width="5.7109375" style="20" customWidth="1"/>
    <col min="9" max="9" width="8.85546875" style="20" customWidth="1"/>
    <col min="10" max="10" width="1.140625" style="20" customWidth="1"/>
    <col min="11" max="16384" width="11.42578125" style="20"/>
  </cols>
  <sheetData>
    <row r="2" spans="1:10" s="57" customFormat="1" ht="16.5" customHeight="1">
      <c r="A2" s="1793" t="s">
        <v>725</v>
      </c>
      <c r="B2" s="1793"/>
      <c r="C2" s="1793"/>
      <c r="D2" s="1793"/>
      <c r="E2" s="1793"/>
      <c r="F2" s="1793"/>
      <c r="G2" s="1793"/>
      <c r="H2" s="1793"/>
      <c r="I2" s="1793"/>
    </row>
    <row r="3" spans="1:10" ht="13.5" customHeight="1"/>
    <row r="4" spans="1:10">
      <c r="E4" s="259"/>
    </row>
    <row r="5" spans="1:10" s="57" customFormat="1" ht="24" customHeight="1">
      <c r="A5" s="260" t="s">
        <v>332</v>
      </c>
      <c r="B5" s="1830" t="s">
        <v>101</v>
      </c>
      <c r="C5" s="1830" t="s">
        <v>333</v>
      </c>
      <c r="D5" s="1832"/>
      <c r="E5" s="261"/>
      <c r="F5" s="260" t="s">
        <v>332</v>
      </c>
      <c r="G5" s="1830" t="s">
        <v>101</v>
      </c>
      <c r="H5" s="1830" t="s">
        <v>333</v>
      </c>
      <c r="I5" s="1832"/>
      <c r="J5" s="20"/>
    </row>
    <row r="6" spans="1:10" s="57" customFormat="1" ht="24" customHeight="1">
      <c r="A6" s="262" t="s">
        <v>767</v>
      </c>
      <c r="B6" s="1831"/>
      <c r="C6" s="1831"/>
      <c r="D6" s="1833"/>
      <c r="E6" s="261"/>
      <c r="F6" s="262" t="s">
        <v>767</v>
      </c>
      <c r="G6" s="1831"/>
      <c r="H6" s="1831"/>
      <c r="I6" s="1833"/>
      <c r="J6" s="20"/>
    </row>
    <row r="7" spans="1:10" s="57" customFormat="1" ht="18" customHeight="1">
      <c r="A7" s="263"/>
      <c r="B7" s="264"/>
      <c r="C7" s="265"/>
      <c r="D7" s="266"/>
      <c r="E7" s="267"/>
      <c r="F7" s="263"/>
      <c r="G7" s="268"/>
      <c r="H7" s="269"/>
      <c r="I7" s="266"/>
      <c r="J7" s="20"/>
    </row>
    <row r="8" spans="1:10" ht="18" customHeight="1">
      <c r="A8" s="270" t="s">
        <v>334</v>
      </c>
      <c r="B8" s="271">
        <f>+B9</f>
        <v>118</v>
      </c>
      <c r="C8" s="272"/>
      <c r="D8" s="273"/>
      <c r="E8" s="274"/>
      <c r="F8" s="270" t="s">
        <v>335</v>
      </c>
      <c r="G8" s="271">
        <f>SUM(G9:G12)</f>
        <v>2229</v>
      </c>
      <c r="H8" s="275"/>
      <c r="I8" s="276"/>
    </row>
    <row r="9" spans="1:10" ht="18" customHeight="1">
      <c r="A9" s="277" t="str">
        <f>+'[2]tablas 34-41 REGIONALES  '!C39</f>
        <v>EPMSCLET Leticia</v>
      </c>
      <c r="B9" s="278">
        <f>+'PARTE DIC2021'!E10</f>
        <v>118</v>
      </c>
      <c r="C9" s="279"/>
      <c r="D9" s="280">
        <v>3</v>
      </c>
      <c r="E9" s="281"/>
      <c r="F9" s="282" t="str">
        <f>+'PARTE DIC2021'!D36</f>
        <v>CPMSGAZ Garzón</v>
      </c>
      <c r="G9" s="295">
        <f>+'PARTE DIC2021'!E36</f>
        <v>291</v>
      </c>
      <c r="H9" s="284"/>
      <c r="I9" s="285">
        <v>3</v>
      </c>
    </row>
    <row r="10" spans="1:10" ht="18" customHeight="1">
      <c r="A10" s="286"/>
      <c r="B10" s="287"/>
      <c r="C10" s="279"/>
      <c r="D10" s="288"/>
      <c r="E10" s="281"/>
      <c r="F10" s="289" t="str">
        <f>+'PARTE DIC2021'!D37</f>
        <v>EPMSCLPL La Plata</v>
      </c>
      <c r="G10" s="300">
        <f>+'PARTE DIC2021'!E37</f>
        <v>304</v>
      </c>
      <c r="H10" s="284"/>
      <c r="I10" s="285">
        <v>3</v>
      </c>
    </row>
    <row r="11" spans="1:10" ht="18" customHeight="1">
      <c r="A11" s="291" t="s">
        <v>336</v>
      </c>
      <c r="B11" s="292">
        <f>SUM(B12:B21)</f>
        <v>4414</v>
      </c>
      <c r="C11" s="279"/>
      <c r="D11" s="288"/>
      <c r="E11" s="281"/>
      <c r="F11" s="289" t="str">
        <f>+'PARTE DIC2021'!D35</f>
        <v>EPMSCNEI Neiva</v>
      </c>
      <c r="G11" s="300">
        <f>+'PARTE DIC2021'!E35</f>
        <v>984</v>
      </c>
      <c r="H11" s="284"/>
      <c r="I11" s="285">
        <v>3</v>
      </c>
    </row>
    <row r="12" spans="1:10" ht="18" customHeight="1">
      <c r="A12" s="294" t="str">
        <f>+'PARTE DIC2021'!D12</f>
        <v>CPMSCHI Chiquinquirá</v>
      </c>
      <c r="B12" s="295">
        <f>+'PARTE DIC2021'!E12</f>
        <v>322</v>
      </c>
      <c r="C12" s="296"/>
      <c r="D12" s="288">
        <v>3</v>
      </c>
      <c r="E12" s="281"/>
      <c r="F12" s="297" t="str">
        <f>+'PARTE DIC2021'!D38</f>
        <v>EPMSCPIT Pitalito</v>
      </c>
      <c r="G12" s="298">
        <f>+'PARTE DIC2021'!E38</f>
        <v>650</v>
      </c>
      <c r="H12" s="284"/>
      <c r="I12" s="285">
        <v>3</v>
      </c>
    </row>
    <row r="13" spans="1:10" ht="18" customHeight="1">
      <c r="A13" s="299" t="str">
        <f>+'PARTE DIC2021'!D45</f>
        <v>CPAMSEB El Barne</v>
      </c>
      <c r="B13" s="300">
        <f>+'PARTE DIC2021'!E45</f>
        <v>2664</v>
      </c>
      <c r="C13" s="301"/>
      <c r="D13" s="288">
        <v>2</v>
      </c>
      <c r="E13" s="281"/>
      <c r="F13" s="302"/>
      <c r="G13" s="303"/>
      <c r="H13" s="284"/>
      <c r="I13" s="285"/>
    </row>
    <row r="14" spans="1:10" ht="18" customHeight="1">
      <c r="A14" s="299" t="str">
        <f>+'PARTE DIC2021'!D13</f>
        <v>EPMSCDUI Duitama</v>
      </c>
      <c r="B14" s="300">
        <f>+'PARTE DIC2021'!E13</f>
        <v>306</v>
      </c>
      <c r="C14" s="301"/>
      <c r="D14" s="288">
        <v>3</v>
      </c>
      <c r="E14" s="281"/>
      <c r="F14" s="270" t="s">
        <v>337</v>
      </c>
      <c r="G14" s="271">
        <f>SUM(G15:G18)</f>
        <v>4493</v>
      </c>
      <c r="H14" s="284"/>
      <c r="I14" s="285"/>
    </row>
    <row r="15" spans="1:10" ht="18" customHeight="1">
      <c r="A15" s="1108" t="str">
        <f>+'PARTE DIC2021'!D14</f>
        <v>CPMSGAR Garagoa</v>
      </c>
      <c r="B15" s="1109">
        <f>+'PARTE DIC2021'!E14</f>
        <v>37</v>
      </c>
      <c r="C15" s="301"/>
      <c r="D15" s="288">
        <v>3</v>
      </c>
      <c r="E15" s="281"/>
      <c r="F15" s="282" t="str">
        <f>+'PARTE DIC2021'!D30</f>
        <v>CAMISACS Acacias</v>
      </c>
      <c r="G15" s="283">
        <f>+'PARTE DIC2021'!E30</f>
        <v>1098</v>
      </c>
      <c r="H15" s="284"/>
      <c r="I15" s="285">
        <v>3</v>
      </c>
    </row>
    <row r="16" spans="1:10" ht="18" customHeight="1">
      <c r="A16" s="299" t="str">
        <f>+'PARTE DIC2021'!D15</f>
        <v>EPMSCGTQ Guateque</v>
      </c>
      <c r="B16" s="300">
        <f>+'PARTE DIC2021'!E15</f>
        <v>55</v>
      </c>
      <c r="C16" s="296"/>
      <c r="D16" s="288">
        <v>3</v>
      </c>
      <c r="E16" s="281"/>
      <c r="F16" s="289" t="str">
        <f>+'PARTE DIC2021'!D43</f>
        <v>CPMSACS - RM Acacias</v>
      </c>
      <c r="G16" s="290">
        <f>+'PARTE DIC2021'!E43</f>
        <v>2376</v>
      </c>
      <c r="H16" s="284"/>
      <c r="I16" s="285">
        <v>1</v>
      </c>
    </row>
    <row r="17" spans="1:14" ht="18" customHeight="1">
      <c r="A17" s="299" t="str">
        <f>+'PARTE DIC2021'!D16</f>
        <v>CPMSMOQ Moniquirá</v>
      </c>
      <c r="B17" s="300">
        <f>+'PARTE DIC2021'!E16</f>
        <v>73</v>
      </c>
      <c r="C17" s="301"/>
      <c r="D17" s="288">
        <v>3</v>
      </c>
      <c r="E17" s="281"/>
      <c r="F17" s="304" t="str">
        <f>+'PARTE DIC2021'!D32</f>
        <v>EPMSCGRA Granada</v>
      </c>
      <c r="G17" s="290">
        <f>+'PARTE DIC2021'!E32</f>
        <v>120</v>
      </c>
      <c r="H17" s="284"/>
      <c r="I17" s="285">
        <v>3</v>
      </c>
    </row>
    <row r="18" spans="1:14" ht="18" customHeight="1">
      <c r="A18" s="299" t="str">
        <f>+'PARTE DIC2021'!D17</f>
        <v>CPMSRAM Ramiriquí</v>
      </c>
      <c r="B18" s="300">
        <f>+'PARTE DIC2021'!E17</f>
        <v>122</v>
      </c>
      <c r="C18" s="301"/>
      <c r="D18" s="288">
        <v>3</v>
      </c>
      <c r="E18" s="281"/>
      <c r="F18" s="297" t="str">
        <f>+'PARTE DIC2021'!D31</f>
        <v>EPMSCVILLV Villavicencio</v>
      </c>
      <c r="G18" s="298">
        <f>+'PARTE DIC2021'!E31</f>
        <v>899</v>
      </c>
      <c r="H18" s="284"/>
      <c r="I18" s="285">
        <v>3</v>
      </c>
    </row>
    <row r="19" spans="1:14" ht="18" customHeight="1">
      <c r="A19" s="299" t="str">
        <f>+'PARTE DIC2021'!D11</f>
        <v>EPMSCSRV Santa Rosa de Viterbo</v>
      </c>
      <c r="B19" s="300">
        <f>+'PARTE DIC2021'!E11</f>
        <v>320</v>
      </c>
      <c r="C19" s="301"/>
      <c r="D19" s="288">
        <v>3</v>
      </c>
      <c r="E19" s="281"/>
      <c r="F19" s="305"/>
      <c r="G19" s="306"/>
      <c r="H19" s="284"/>
      <c r="I19" s="285"/>
    </row>
    <row r="20" spans="1:14" ht="18" customHeight="1">
      <c r="A20" s="299" t="str">
        <f>+'PARTE DIC2021'!D18</f>
        <v>EPMSCSOG-RM-JP Sogamoso</v>
      </c>
      <c r="B20" s="300">
        <f>+'PARTE DIC2021'!E18</f>
        <v>395</v>
      </c>
      <c r="C20" s="301"/>
      <c r="D20" s="288">
        <v>3</v>
      </c>
      <c r="E20" s="281"/>
      <c r="F20" s="270" t="s">
        <v>338</v>
      </c>
      <c r="G20" s="271">
        <f>SUM(G21:G25)</f>
        <v>1590</v>
      </c>
      <c r="H20" s="284"/>
      <c r="I20" s="285"/>
    </row>
    <row r="21" spans="1:14" ht="18" customHeight="1">
      <c r="A21" s="307" t="str">
        <f>+'PARTE DIC2021'!D44</f>
        <v>CPMSTUN Tunja</v>
      </c>
      <c r="B21" s="313">
        <f>+'PARTE DIC2021'!E44</f>
        <v>120</v>
      </c>
      <c r="C21" s="301"/>
      <c r="D21" s="288">
        <v>3</v>
      </c>
      <c r="E21" s="281"/>
      <c r="F21" s="282" t="str">
        <f>+'PARTE DIC2021'!D40</f>
        <v>EPMSCCHA Chaparral</v>
      </c>
      <c r="G21" s="283">
        <f>+'PARTE DIC2021'!E40</f>
        <v>169</v>
      </c>
      <c r="H21" s="284"/>
      <c r="I21" s="285">
        <v>3</v>
      </c>
    </row>
    <row r="22" spans="1:14" ht="18" customHeight="1">
      <c r="A22" s="308"/>
      <c r="B22" s="309"/>
      <c r="C22" s="310"/>
      <c r="D22" s="288"/>
      <c r="E22" s="281"/>
      <c r="F22" s="289" t="str">
        <f>+'PARTE DIC2021'!D41</f>
        <v>CPMSESP Espinal</v>
      </c>
      <c r="G22" s="290">
        <f>+'PARTE DIC2021'!E41</f>
        <v>1118</v>
      </c>
      <c r="H22" s="284"/>
      <c r="I22" s="285">
        <v>3</v>
      </c>
    </row>
    <row r="23" spans="1:14" ht="18" customHeight="1">
      <c r="A23" s="270" t="s">
        <v>339</v>
      </c>
      <c r="B23" s="271">
        <f>SUM(B24:B25)</f>
        <v>1938</v>
      </c>
      <c r="C23" s="311"/>
      <c r="D23" s="288"/>
      <c r="E23" s="281"/>
      <c r="F23" s="289" t="str">
        <f>+'PARTE DIC2021'!D50</f>
        <v>EPCGUM El Guamo</v>
      </c>
      <c r="G23" s="293">
        <f>+'PARTE DIC2021'!E50</f>
        <v>100</v>
      </c>
      <c r="H23" s="284"/>
      <c r="I23" s="285">
        <v>3</v>
      </c>
    </row>
    <row r="24" spans="1:14" ht="18" customHeight="1">
      <c r="A24" s="312" t="str">
        <f>+'PARTE DIC2021'!D39</f>
        <v>CPMSFLO-ERE-RM Florencia</v>
      </c>
      <c r="B24" s="283">
        <f>+'PARTE DIC2021'!E39</f>
        <v>550</v>
      </c>
      <c r="C24" s="310"/>
      <c r="D24" s="288">
        <v>3</v>
      </c>
      <c r="E24" s="281"/>
      <c r="F24" s="289" t="str">
        <f>+'PARTE DIC2021'!D33</f>
        <v>CPMSMEL Melgar</v>
      </c>
      <c r="G24" s="290">
        <f>+'PARTE DIC2021'!E33</f>
        <v>90</v>
      </c>
      <c r="H24" s="284"/>
      <c r="I24" s="285">
        <v>3</v>
      </c>
    </row>
    <row r="25" spans="1:14" ht="18" customHeight="1">
      <c r="A25" s="297" t="str">
        <f>+'PARTE DIC2021'!D49</f>
        <v xml:space="preserve">PMSHELIC Las Heliconias </v>
      </c>
      <c r="B25" s="298">
        <f>+'PARTE DIC2021'!E49</f>
        <v>1388</v>
      </c>
      <c r="C25" s="314"/>
      <c r="D25" s="288">
        <v>1</v>
      </c>
      <c r="E25" s="281"/>
      <c r="F25" s="1111" t="str">
        <f>+'PARTE DIC2021'!D42</f>
        <v>CPMSPUR Purificación</v>
      </c>
      <c r="G25" s="1112">
        <f>+'PARTE DIC2021'!E42</f>
        <v>113</v>
      </c>
      <c r="H25" s="284"/>
      <c r="I25" s="285"/>
    </row>
    <row r="26" spans="1:14" ht="18" customHeight="1">
      <c r="A26" s="286"/>
      <c r="B26" s="287"/>
      <c r="C26" s="310"/>
      <c r="D26" s="288"/>
      <c r="E26" s="281"/>
      <c r="F26" s="302"/>
      <c r="G26" s="303"/>
      <c r="H26" s="284"/>
      <c r="I26" s="285"/>
    </row>
    <row r="27" spans="1:14" ht="18" customHeight="1">
      <c r="A27" s="270" t="s">
        <v>340</v>
      </c>
      <c r="B27" s="271">
        <f>SUM(B28:B30)</f>
        <v>10121</v>
      </c>
      <c r="C27" s="311"/>
      <c r="D27" s="288"/>
      <c r="E27" s="281"/>
      <c r="F27" s="270" t="s">
        <v>341</v>
      </c>
      <c r="G27" s="271">
        <f>SUM(G28:G29)</f>
        <v>1038</v>
      </c>
      <c r="H27" s="284"/>
      <c r="I27" s="285"/>
      <c r="N27" s="315"/>
    </row>
    <row r="28" spans="1:14" ht="18" customHeight="1">
      <c r="A28" s="282" t="str">
        <f>+'PARTE DIC2021'!D19</f>
        <v>COBOG-ERE-JP Bogotá</v>
      </c>
      <c r="B28" s="283">
        <f>+'PARTE DIC2021'!E19</f>
        <v>5970</v>
      </c>
      <c r="C28" s="310"/>
      <c r="D28" s="288">
        <v>1</v>
      </c>
      <c r="E28" s="281"/>
      <c r="F28" s="282" t="str">
        <f>+'PARTE DIC2021'!D46</f>
        <v>CPMSPDA Paz de Ariporo</v>
      </c>
      <c r="G28" s="283">
        <f>+'PARTE DIC2021'!E46</f>
        <v>120</v>
      </c>
      <c r="H28" s="284"/>
      <c r="I28" s="285">
        <v>3</v>
      </c>
      <c r="M28" s="315"/>
    </row>
    <row r="29" spans="1:14" ht="18" customHeight="1">
      <c r="A29" s="289" t="str">
        <f>+'PARTE DIC2021'!D20</f>
        <v>CPMSBOG - Bogotá</v>
      </c>
      <c r="B29" s="290">
        <f>+'PARTE DIC2021'!E20</f>
        <v>2905</v>
      </c>
      <c r="C29" s="310"/>
      <c r="D29" s="288">
        <v>3</v>
      </c>
      <c r="E29" s="281"/>
      <c r="F29" s="297" t="str">
        <f>+'PARTE DIC2021'!D47</f>
        <v>EPCYOP Yopal</v>
      </c>
      <c r="G29" s="298">
        <f>+'PARTE DIC2021'!E47</f>
        <v>918</v>
      </c>
      <c r="H29" s="316"/>
      <c r="I29" s="317">
        <v>1</v>
      </c>
    </row>
    <row r="30" spans="1:14" ht="18" customHeight="1">
      <c r="A30" s="365" t="str">
        <f>+'PARTE DIC2021'!D29</f>
        <v>CPAMSMBOG-ERE Bogotá</v>
      </c>
      <c r="B30" s="298">
        <f>+'PARTE DIC2021'!E29</f>
        <v>1246</v>
      </c>
      <c r="C30" s="284"/>
      <c r="D30" s="285">
        <v>3</v>
      </c>
      <c r="E30" s="281"/>
      <c r="F30" s="302"/>
      <c r="G30" s="318"/>
      <c r="H30" s="318"/>
      <c r="I30" s="319"/>
    </row>
    <row r="31" spans="1:14" ht="18" customHeight="1">
      <c r="A31" s="286"/>
      <c r="B31" s="287"/>
      <c r="C31" s="310"/>
      <c r="D31" s="288"/>
      <c r="E31" s="281"/>
      <c r="F31" s="302"/>
      <c r="G31" s="318"/>
      <c r="H31" s="318"/>
      <c r="I31" s="319"/>
    </row>
    <row r="32" spans="1:14" ht="18" customHeight="1">
      <c r="A32" s="291" t="s">
        <v>342</v>
      </c>
      <c r="B32" s="292">
        <f>SUM(B33:B43)</f>
        <v>4731</v>
      </c>
      <c r="C32" s="311"/>
      <c r="D32" s="288"/>
      <c r="E32" s="281"/>
      <c r="F32" s="320"/>
      <c r="G32" s="321"/>
      <c r="H32" s="321"/>
      <c r="I32" s="322"/>
    </row>
    <row r="33" spans="1:13" ht="18" customHeight="1">
      <c r="A33" s="294" t="str">
        <f>+'PARTE DIC2021'!D21</f>
        <v>EPMSCCAQ Cáqueza</v>
      </c>
      <c r="B33" s="283">
        <f>+'PARTE DIC2021'!E21</f>
        <v>108</v>
      </c>
      <c r="C33" s="301"/>
      <c r="D33" s="288">
        <v>3</v>
      </c>
      <c r="E33" s="281"/>
      <c r="F33" s="323" t="s">
        <v>343</v>
      </c>
      <c r="G33" s="324" t="s">
        <v>14</v>
      </c>
      <c r="H33" s="324"/>
      <c r="I33" s="325"/>
    </row>
    <row r="34" spans="1:13" ht="18" customHeight="1">
      <c r="A34" s="299" t="str">
        <f>+'PARTE DIC2021'!D22</f>
        <v>CPMSCHO Chocontá</v>
      </c>
      <c r="B34" s="326">
        <f>+'PARTE DIC2021'!E22</f>
        <v>112</v>
      </c>
      <c r="C34" s="301"/>
      <c r="D34" s="288">
        <v>3</v>
      </c>
      <c r="E34" s="281"/>
      <c r="F34" s="302"/>
      <c r="G34" s="327"/>
      <c r="H34" s="327"/>
      <c r="I34" s="328"/>
    </row>
    <row r="35" spans="1:13" ht="18" customHeight="1">
      <c r="A35" s="299" t="str">
        <f>+'PARTE DIC2021'!D23</f>
        <v>CPMSFUS - CAM Fusagasugá</v>
      </c>
      <c r="B35" s="326">
        <f>+'PARTE DIC2021'!E23</f>
        <v>153</v>
      </c>
      <c r="C35" s="301"/>
      <c r="D35" s="288">
        <v>3</v>
      </c>
      <c r="E35" s="281"/>
      <c r="F35" s="329" t="s">
        <v>768</v>
      </c>
      <c r="G35" s="287">
        <f>+B8+B11-B13+B23-B25+B27-B28+B32-B38+G8+G14-G16+G20+G27-G29</f>
        <v>14534</v>
      </c>
      <c r="H35" s="318"/>
      <c r="I35" s="319"/>
    </row>
    <row r="36" spans="1:13" ht="18" customHeight="1">
      <c r="A36" s="299" t="str">
        <f>+'PARTE DIC2021'!D24</f>
        <v>CPMSGAC Gachetá</v>
      </c>
      <c r="B36" s="326">
        <f>+'PARTE DIC2021'!E24</f>
        <v>58</v>
      </c>
      <c r="C36" s="301"/>
      <c r="D36" s="288">
        <v>3</v>
      </c>
      <c r="E36" s="330"/>
      <c r="F36" s="329" t="s">
        <v>344</v>
      </c>
      <c r="G36" s="287">
        <f>+B13</f>
        <v>2664</v>
      </c>
      <c r="H36" s="318"/>
      <c r="I36" s="319"/>
    </row>
    <row r="37" spans="1:13" ht="18" customHeight="1">
      <c r="A37" s="299" t="str">
        <f>+'PARTE DIC2021'!D34</f>
        <v>EPMSCGIR Girardot</v>
      </c>
      <c r="B37" s="326">
        <f>+'PARTE DIC2021'!E34</f>
        <v>899</v>
      </c>
      <c r="C37" s="301"/>
      <c r="D37" s="288">
        <v>3</v>
      </c>
      <c r="E37" s="281"/>
      <c r="F37" s="329" t="s">
        <v>383</v>
      </c>
      <c r="G37" s="287">
        <f>+B25+B28+B38+G16+G29</f>
        <v>13474</v>
      </c>
      <c r="H37" s="318"/>
      <c r="I37" s="319"/>
    </row>
    <row r="38" spans="1:13" ht="18" customHeight="1">
      <c r="A38" s="299" t="str">
        <f>+'PARTE DIC2021'!D48</f>
        <v>PMSLEGU La Esperanza de Guaduas</v>
      </c>
      <c r="B38" s="326">
        <f>+'PARTE DIC2021'!E48</f>
        <v>2822</v>
      </c>
      <c r="C38" s="301"/>
      <c r="D38" s="288">
        <v>1</v>
      </c>
      <c r="E38" s="281"/>
      <c r="F38" s="331"/>
      <c r="G38" s="332">
        <f>SUM(G35:G37)</f>
        <v>30672</v>
      </c>
      <c r="H38" s="333"/>
      <c r="I38" s="334"/>
    </row>
    <row r="39" spans="1:13" ht="18" customHeight="1">
      <c r="A39" s="299" t="str">
        <f>+'PARTE DIC2021'!D25</f>
        <v>CPMSLMS La Mesa</v>
      </c>
      <c r="B39" s="326">
        <f>+'PARTE DIC2021'!E25</f>
        <v>60</v>
      </c>
      <c r="C39" s="335"/>
      <c r="D39" s="288">
        <v>3</v>
      </c>
      <c r="E39" s="281"/>
      <c r="F39" s="302"/>
      <c r="G39" s="318"/>
      <c r="H39" s="318"/>
      <c r="I39" s="319"/>
    </row>
    <row r="40" spans="1:13" ht="18" customHeight="1">
      <c r="A40" s="299" t="str">
        <f>+'PARTE DIC2021'!D26</f>
        <v>CPMSUBA Ubaté</v>
      </c>
      <c r="B40" s="326">
        <f>+'PARTE DIC2021'!E26</f>
        <v>117</v>
      </c>
      <c r="C40" s="301"/>
      <c r="D40" s="288">
        <v>3</v>
      </c>
      <c r="E40" s="281"/>
      <c r="F40" s="336" t="s">
        <v>58</v>
      </c>
      <c r="G40" s="337" t="s">
        <v>57</v>
      </c>
      <c r="H40" s="1828" t="s">
        <v>14</v>
      </c>
      <c r="I40" s="1829"/>
    </row>
    <row r="41" spans="1:13" ht="18" customHeight="1">
      <c r="A41" s="299" t="str">
        <f>+'PARTE DIC2021'!D27</f>
        <v>CPMSVILL Villeta</v>
      </c>
      <c r="B41" s="326">
        <f>+'PARTE DIC2021'!E27</f>
        <v>70</v>
      </c>
      <c r="C41" s="301"/>
      <c r="D41" s="288">
        <v>3</v>
      </c>
      <c r="E41" s="338"/>
      <c r="F41" s="1838">
        <v>38</v>
      </c>
      <c r="G41" s="1838">
        <v>42</v>
      </c>
      <c r="H41" s="1840">
        <f>+G38</f>
        <v>30672</v>
      </c>
      <c r="I41" s="1840"/>
      <c r="L41" s="315"/>
      <c r="M41" s="315"/>
    </row>
    <row r="42" spans="1:13" ht="18" customHeight="1">
      <c r="A42" s="1108" t="str">
        <f>+'PARTE DIC2021'!D28</f>
        <v>EPMSCZIP Zipaquirá</v>
      </c>
      <c r="B42" s="1110">
        <f>+'PARTE DIC2021'!E28</f>
        <v>152</v>
      </c>
      <c r="C42" s="301"/>
      <c r="D42" s="288">
        <v>3</v>
      </c>
      <c r="E42" s="342"/>
      <c r="F42" s="1839"/>
      <c r="G42" s="1839"/>
      <c r="H42" s="1839"/>
      <c r="I42" s="1839"/>
    </row>
    <row r="43" spans="1:13" ht="18" customHeight="1">
      <c r="A43" s="307" t="str">
        <f>+'PARTE DIC2021'!D51</f>
        <v>CPMMSFFA Facatativá</v>
      </c>
      <c r="B43" s="339">
        <f>+'PARTE DIC2021'!E51</f>
        <v>180</v>
      </c>
      <c r="C43" s="340"/>
      <c r="D43" s="341">
        <v>3</v>
      </c>
      <c r="E43" s="342"/>
      <c r="F43" s="1113" t="s">
        <v>770</v>
      </c>
      <c r="G43" s="1104"/>
      <c r="H43" s="1104"/>
      <c r="I43" s="1104"/>
    </row>
    <row r="44" spans="1:13" ht="22.5" customHeight="1">
      <c r="A44" s="343"/>
      <c r="B44" s="343"/>
      <c r="C44" s="20"/>
      <c r="D44" s="342"/>
      <c r="E44" s="342"/>
    </row>
    <row r="45" spans="1:13" ht="15" customHeight="1">
      <c r="A45" s="344"/>
      <c r="B45" s="345"/>
      <c r="C45" s="346"/>
      <c r="D45" s="342"/>
      <c r="E45" s="342"/>
    </row>
    <row r="46" spans="1:13" ht="15" customHeight="1">
      <c r="A46" s="1793" t="s">
        <v>444</v>
      </c>
      <c r="B46" s="1793"/>
      <c r="C46" s="1793"/>
      <c r="D46" s="1793"/>
      <c r="E46" s="1793"/>
      <c r="F46" s="1793"/>
      <c r="G46" s="1793"/>
      <c r="H46" s="1793"/>
      <c r="I46" s="1793"/>
    </row>
    <row r="47" spans="1:13" ht="15" customHeight="1">
      <c r="E47" s="347"/>
    </row>
    <row r="48" spans="1:13" s="57" customFormat="1" ht="24" customHeight="1">
      <c r="A48" s="260" t="s">
        <v>345</v>
      </c>
      <c r="B48" s="1830" t="s">
        <v>101</v>
      </c>
      <c r="C48" s="1830" t="s">
        <v>333</v>
      </c>
      <c r="D48" s="1832"/>
      <c r="E48" s="348"/>
      <c r="F48" s="260" t="s">
        <v>345</v>
      </c>
      <c r="G48" s="1830" t="s">
        <v>101</v>
      </c>
      <c r="H48" s="1830" t="s">
        <v>333</v>
      </c>
      <c r="I48" s="1832"/>
      <c r="J48" s="20"/>
    </row>
    <row r="49" spans="1:14" s="57" customFormat="1" ht="24" customHeight="1">
      <c r="A49" s="262" t="s">
        <v>767</v>
      </c>
      <c r="B49" s="1831"/>
      <c r="C49" s="1831"/>
      <c r="D49" s="1833"/>
      <c r="E49" s="348"/>
      <c r="F49" s="262" t="s">
        <v>767</v>
      </c>
      <c r="G49" s="1831"/>
      <c r="H49" s="1831"/>
      <c r="I49" s="1833"/>
      <c r="J49" s="20"/>
    </row>
    <row r="50" spans="1:14" s="57" customFormat="1" ht="18" customHeight="1">
      <c r="A50" s="263"/>
      <c r="B50" s="264"/>
      <c r="C50" s="264"/>
      <c r="D50" s="266"/>
      <c r="E50" s="349"/>
      <c r="F50" s="350"/>
      <c r="G50" s="351"/>
      <c r="H50" s="351"/>
      <c r="I50" s="352"/>
      <c r="J50" s="20"/>
    </row>
    <row r="51" spans="1:14" ht="18" customHeight="1">
      <c r="A51" s="353" t="s">
        <v>346</v>
      </c>
      <c r="B51" s="354">
        <f>SUM(B52:B58)</f>
        <v>3312</v>
      </c>
      <c r="C51" s="355"/>
      <c r="D51" s="356"/>
      <c r="E51" s="357"/>
      <c r="F51" s="353" t="s">
        <v>347</v>
      </c>
      <c r="G51" s="354">
        <f>SUM(G52:G61)</f>
        <v>10579</v>
      </c>
      <c r="H51" s="355"/>
      <c r="I51" s="358"/>
    </row>
    <row r="52" spans="1:14" ht="18" customHeight="1">
      <c r="A52" s="359" t="str">
        <f>+'PARTE DIC2021'!D52</f>
        <v>EPMSCBOL Bolívar Cauca</v>
      </c>
      <c r="B52" s="283">
        <f>+'PARTE DIC2021'!E52</f>
        <v>186</v>
      </c>
      <c r="C52" s="360"/>
      <c r="D52" s="288">
        <v>3</v>
      </c>
      <c r="E52" s="357"/>
      <c r="F52" s="359" t="str">
        <f>+'PARTE DIC2021'!D66</f>
        <v>EPMSCBUE Buenaventura</v>
      </c>
      <c r="G52" s="283">
        <f>+'PARTE DIC2021'!E66</f>
        <v>315</v>
      </c>
      <c r="H52" s="360"/>
      <c r="I52" s="288">
        <v>3</v>
      </c>
      <c r="N52" s="315"/>
    </row>
    <row r="53" spans="1:14" ht="18" customHeight="1">
      <c r="A53" s="289" t="str">
        <f>+'PARTE DIC2021'!D53</f>
        <v>CPMSEBO El Bordo</v>
      </c>
      <c r="B53" s="816">
        <f>+'PARTE DIC2021'!E53</f>
        <v>108</v>
      </c>
      <c r="C53" s="360"/>
      <c r="D53" s="288">
        <v>3</v>
      </c>
      <c r="E53" s="357"/>
      <c r="F53" s="289" t="str">
        <f>+'PARTE DIC2021'!D65</f>
        <v>EPMSCBUG Buga</v>
      </c>
      <c r="G53" s="290">
        <f>+'PARTE DIC2021'!E65</f>
        <v>821</v>
      </c>
      <c r="H53" s="360"/>
      <c r="I53" s="288">
        <v>3</v>
      </c>
    </row>
    <row r="54" spans="1:14" ht="18" customHeight="1">
      <c r="A54" s="289" t="str">
        <f>+'PARTE DIC2021'!D57</f>
        <v>CPMSMPY Popayán</v>
      </c>
      <c r="B54" s="816">
        <f>+'PARTE DIC2021'!E57</f>
        <v>100</v>
      </c>
      <c r="C54" s="360"/>
      <c r="D54" s="288">
        <v>2</v>
      </c>
      <c r="E54" s="357"/>
      <c r="F54" s="289" t="str">
        <f>+'PARTE DIC2021'!D70</f>
        <v>EPMSCCAI Caicedonia</v>
      </c>
      <c r="G54" s="290">
        <f>+'PARTE DIC2021'!E70</f>
        <v>102</v>
      </c>
      <c r="H54" s="360"/>
      <c r="I54" s="288">
        <v>3</v>
      </c>
    </row>
    <row r="55" spans="1:14" ht="18" customHeight="1">
      <c r="A55" s="304" t="str">
        <f>+'PARTE DIC2021'!D68</f>
        <v>CPAMSPY-ERE Popayán</v>
      </c>
      <c r="B55" s="816">
        <f>+'PARTE DIC2021'!E68</f>
        <v>2524</v>
      </c>
      <c r="C55" s="360"/>
      <c r="D55" s="288">
        <v>3</v>
      </c>
      <c r="E55" s="357"/>
      <c r="F55" s="1114" t="str">
        <f>+'PARTE DIC2021'!D71</f>
        <v>EPMSCROL Roldanillo</v>
      </c>
      <c r="G55" s="1115">
        <f>+'PARTE DIC2021'!E71</f>
        <v>0</v>
      </c>
      <c r="H55" s="360"/>
      <c r="I55" s="288">
        <v>3</v>
      </c>
    </row>
    <row r="56" spans="1:14" ht="18" customHeight="1">
      <c r="A56" s="289" t="str">
        <f>+'PARTE DIC2021'!D54</f>
        <v>EPMSCPTE Puerto Tejada</v>
      </c>
      <c r="B56" s="816">
        <f>+'PARTE DIC2021'!E54</f>
        <v>64</v>
      </c>
      <c r="C56" s="360"/>
      <c r="D56" s="288">
        <v>3</v>
      </c>
      <c r="E56" s="357"/>
      <c r="F56" s="289" t="str">
        <f>+'PARTE DIC2021'!D64</f>
        <v>EPMSCCAL-ERE Cali</v>
      </c>
      <c r="G56" s="290">
        <f>+'PARTE DIC2021'!E64</f>
        <v>2046</v>
      </c>
      <c r="H56" s="360"/>
      <c r="I56" s="288">
        <v>3</v>
      </c>
    </row>
    <row r="57" spans="1:14" ht="18" customHeight="1">
      <c r="A57" s="289" t="str">
        <f>+'PARTE DIC2021'!D55</f>
        <v>EPMSCSDQ Santander de Quilichao</v>
      </c>
      <c r="B57" s="816">
        <f>+'PARTE DIC2021'!E55</f>
        <v>230</v>
      </c>
      <c r="C57" s="360"/>
      <c r="D57" s="288">
        <v>3</v>
      </c>
      <c r="E57" s="357"/>
      <c r="F57" s="289" t="str">
        <f>+'PARTE DIC2021'!D69</f>
        <v>EPMSCCAR Cartago</v>
      </c>
      <c r="G57" s="290">
        <f>+'PARTE DIC2021'!E69</f>
        <v>428</v>
      </c>
      <c r="H57" s="360"/>
      <c r="I57" s="288">
        <v>3</v>
      </c>
    </row>
    <row r="58" spans="1:14" ht="18" customHeight="1">
      <c r="A58" s="297" t="str">
        <f>+'PARTE DIC2021'!D56</f>
        <v>EPMSCSIL Silvia</v>
      </c>
      <c r="B58" s="817">
        <f>+'PARTE DIC2021'!E56</f>
        <v>100</v>
      </c>
      <c r="C58" s="360"/>
      <c r="D58" s="288">
        <v>3</v>
      </c>
      <c r="E58" s="357"/>
      <c r="F58" s="289" t="str">
        <f>+'PARTE DIC2021'!D73</f>
        <v>COJAM Jamundí</v>
      </c>
      <c r="G58" s="290">
        <f>+'PARTE DIC2021'!E73</f>
        <v>4444</v>
      </c>
      <c r="H58" s="360"/>
      <c r="I58" s="288">
        <v>1</v>
      </c>
    </row>
    <row r="59" spans="1:14" ht="18" customHeight="1">
      <c r="A59" s="286"/>
      <c r="B59" s="361"/>
      <c r="C59" s="360"/>
      <c r="D59" s="362"/>
      <c r="E59" s="357"/>
      <c r="F59" s="289" t="str">
        <f>+'PARTE DIC2021'!D63</f>
        <v>CPAMSPAL Palmira</v>
      </c>
      <c r="G59" s="290">
        <f>+'PARTE DIC2021'!E63</f>
        <v>1257</v>
      </c>
      <c r="H59" s="360"/>
      <c r="I59" s="288">
        <v>3</v>
      </c>
    </row>
    <row r="60" spans="1:14" ht="18" customHeight="1">
      <c r="A60" s="270" t="s">
        <v>348</v>
      </c>
      <c r="B60" s="363">
        <f>SUM(B61:B65)</f>
        <v>1902</v>
      </c>
      <c r="C60" s="364"/>
      <c r="D60" s="288"/>
      <c r="E60" s="357"/>
      <c r="F60" s="289" t="str">
        <f>+'PARTE DIC2021'!D72</f>
        <v>EPMSCSEV Sevilla</v>
      </c>
      <c r="G60" s="290">
        <f>+'PARTE DIC2021'!E72</f>
        <v>88</v>
      </c>
      <c r="H60" s="360"/>
      <c r="I60" s="288">
        <v>3</v>
      </c>
    </row>
    <row r="61" spans="1:14" ht="18" customHeight="1">
      <c r="A61" s="282" t="str">
        <f>+'PARTE DIC2021'!D59</f>
        <v>CPMSIPI-RM Ipiales</v>
      </c>
      <c r="B61" s="283">
        <f>+'PARTE DIC2021'!E59</f>
        <v>888</v>
      </c>
      <c r="C61" s="360"/>
      <c r="D61" s="288">
        <v>3</v>
      </c>
      <c r="E61" s="368"/>
      <c r="F61" s="365" t="str">
        <f>+'PARTE DIC2021'!D67</f>
        <v>CPMSTUL Tuluá</v>
      </c>
      <c r="G61" s="366">
        <f>+'PARTE DIC2021'!E67</f>
        <v>1078</v>
      </c>
      <c r="H61" s="367"/>
      <c r="I61" s="341">
        <v>3</v>
      </c>
    </row>
    <row r="62" spans="1:14" ht="18" customHeight="1">
      <c r="A62" s="289" t="str">
        <f>+'PARTE DIC2021'!D60</f>
        <v>EPMSCLUN La Unión</v>
      </c>
      <c r="B62" s="816">
        <f>+'PARTE DIC2021'!E60</f>
        <v>84</v>
      </c>
      <c r="C62" s="360"/>
      <c r="D62" s="288">
        <v>3</v>
      </c>
      <c r="E62" s="368"/>
      <c r="F62" s="369"/>
      <c r="G62" s="370"/>
      <c r="H62" s="370"/>
      <c r="I62" s="371"/>
    </row>
    <row r="63" spans="1:14" ht="18" customHeight="1">
      <c r="A63" s="289" t="str">
        <f>+'PARTE DIC2021'!D58</f>
        <v>EPMSCPAS-RM Pasto</v>
      </c>
      <c r="B63" s="816">
        <f>+'PARTE DIC2021'!E58</f>
        <v>568</v>
      </c>
      <c r="C63" s="360"/>
      <c r="D63" s="288">
        <v>3</v>
      </c>
      <c r="E63" s="368"/>
      <c r="F63" s="323" t="s">
        <v>37</v>
      </c>
      <c r="G63" s="324" t="s">
        <v>14</v>
      </c>
      <c r="H63" s="324"/>
      <c r="I63" s="325"/>
      <c r="M63" s="315">
        <f>+F41+A68+F94+F119+F145+F176</f>
        <v>122</v>
      </c>
      <c r="N63" s="20">
        <f>9+8+3+3+2+3</f>
        <v>28</v>
      </c>
    </row>
    <row r="64" spans="1:14" ht="18" customHeight="1">
      <c r="A64" s="289" t="str">
        <f>+'PARTE DIC2021'!D62</f>
        <v>EPMSCTUM Tumaco</v>
      </c>
      <c r="B64" s="816">
        <f>+'PARTE DIC2021'!E62</f>
        <v>274</v>
      </c>
      <c r="C64" s="360"/>
      <c r="D64" s="288">
        <v>3</v>
      </c>
      <c r="E64" s="368"/>
      <c r="F64" s="302"/>
      <c r="G64" s="327"/>
      <c r="H64" s="327"/>
      <c r="I64" s="328"/>
    </row>
    <row r="65" spans="1:9" ht="18" customHeight="1">
      <c r="A65" s="365" t="str">
        <f>+'PARTE DIC2021'!D61</f>
        <v>EPMSCTUQ Túquerres</v>
      </c>
      <c r="B65" s="818">
        <f>+'PARTE DIC2021'!E61</f>
        <v>88</v>
      </c>
      <c r="C65" s="367"/>
      <c r="D65" s="341">
        <v>3</v>
      </c>
      <c r="E65" s="368"/>
      <c r="F65" s="329" t="s">
        <v>769</v>
      </c>
      <c r="G65" s="287">
        <f>+B51-B54+B60+G51-G58</f>
        <v>11249</v>
      </c>
      <c r="H65" s="318"/>
      <c r="I65" s="319"/>
    </row>
    <row r="66" spans="1:9" ht="18" customHeight="1">
      <c r="A66" s="372"/>
      <c r="B66" s="287"/>
      <c r="C66" s="360"/>
      <c r="D66" s="288"/>
      <c r="E66" s="368"/>
      <c r="F66" s="329" t="s">
        <v>344</v>
      </c>
      <c r="G66" s="287">
        <f>+B54</f>
        <v>100</v>
      </c>
      <c r="H66" s="318"/>
      <c r="I66" s="319"/>
    </row>
    <row r="67" spans="1:9" ht="18" customHeight="1">
      <c r="A67" s="336" t="s">
        <v>58</v>
      </c>
      <c r="B67" s="337" t="s">
        <v>57</v>
      </c>
      <c r="C67" s="1828" t="s">
        <v>14</v>
      </c>
      <c r="D67" s="1829"/>
      <c r="E67" s="368"/>
      <c r="F67" s="329" t="s">
        <v>365</v>
      </c>
      <c r="G67" s="287">
        <f>+G58</f>
        <v>4444</v>
      </c>
      <c r="H67" s="318"/>
      <c r="I67" s="319"/>
    </row>
    <row r="68" spans="1:9" ht="18" customHeight="1">
      <c r="A68" s="1838">
        <v>21</v>
      </c>
      <c r="B68" s="1838">
        <v>22</v>
      </c>
      <c r="C68" s="1840">
        <f>+G68</f>
        <v>15793</v>
      </c>
      <c r="D68" s="1840"/>
      <c r="E68" s="368"/>
      <c r="F68" s="373"/>
      <c r="G68" s="332">
        <f>SUM(G65:G67)</f>
        <v>15793</v>
      </c>
      <c r="H68" s="333"/>
      <c r="I68" s="334"/>
    </row>
    <row r="69" spans="1:9" ht="18" customHeight="1">
      <c r="A69" s="1839"/>
      <c r="B69" s="1839"/>
      <c r="C69" s="1839"/>
      <c r="D69" s="1839"/>
      <c r="E69" s="368"/>
      <c r="F69" s="1121" t="s">
        <v>771</v>
      </c>
      <c r="G69" s="1116"/>
      <c r="H69" s="1116"/>
      <c r="I69" s="1116"/>
    </row>
    <row r="70" spans="1:9" ht="15" customHeight="1">
      <c r="A70" s="374"/>
      <c r="B70" s="361"/>
      <c r="C70" s="360"/>
      <c r="D70" s="375"/>
      <c r="E70" s="368"/>
    </row>
    <row r="71" spans="1:9" ht="15" customHeight="1">
      <c r="A71" s="376"/>
      <c r="B71" s="377"/>
      <c r="C71" s="378"/>
      <c r="D71" s="357"/>
      <c r="E71" s="368"/>
    </row>
    <row r="72" spans="1:9" ht="15" customHeight="1">
      <c r="A72" s="1793" t="s">
        <v>445</v>
      </c>
      <c r="B72" s="1793"/>
      <c r="C72" s="1793"/>
      <c r="D72" s="1793"/>
      <c r="E72" s="1793"/>
      <c r="F72" s="1793"/>
      <c r="G72" s="1793"/>
      <c r="H72" s="1793"/>
      <c r="I72" s="1793"/>
    </row>
    <row r="73" spans="1:9" ht="15" customHeight="1">
      <c r="A73" s="379"/>
      <c r="B73" s="380"/>
      <c r="C73" s="381"/>
      <c r="D73" s="382"/>
      <c r="E73" s="383"/>
      <c r="F73" s="384"/>
      <c r="G73" s="384"/>
      <c r="H73" s="384"/>
      <c r="I73" s="384"/>
    </row>
    <row r="74" spans="1:9" s="57" customFormat="1" ht="24" customHeight="1">
      <c r="A74" s="385" t="s">
        <v>350</v>
      </c>
      <c r="B74" s="1834" t="s">
        <v>101</v>
      </c>
      <c r="C74" s="1834" t="s">
        <v>333</v>
      </c>
      <c r="D74" s="1836"/>
      <c r="E74" s="386"/>
      <c r="F74" s="385" t="s">
        <v>350</v>
      </c>
      <c r="G74" s="1834" t="s">
        <v>101</v>
      </c>
      <c r="H74" s="1834" t="s">
        <v>333</v>
      </c>
      <c r="I74" s="1836"/>
    </row>
    <row r="75" spans="1:9" s="57" customFormat="1" ht="24" customHeight="1" thickBot="1">
      <c r="A75" s="387" t="s">
        <v>767</v>
      </c>
      <c r="B75" s="1835"/>
      <c r="C75" s="1835"/>
      <c r="D75" s="1837"/>
      <c r="E75" s="386"/>
      <c r="F75" s="387" t="s">
        <v>767</v>
      </c>
      <c r="G75" s="1835"/>
      <c r="H75" s="1835"/>
      <c r="I75" s="1837"/>
    </row>
    <row r="76" spans="1:9" s="57" customFormat="1" ht="18" customHeight="1">
      <c r="A76" s="388"/>
      <c r="B76" s="389"/>
      <c r="C76" s="389"/>
      <c r="D76" s="390"/>
      <c r="E76" s="391"/>
      <c r="F76" s="392"/>
      <c r="G76" s="393"/>
      <c r="H76" s="393"/>
      <c r="I76" s="394"/>
    </row>
    <row r="77" spans="1:9" ht="18" customHeight="1">
      <c r="A77" s="395" t="s">
        <v>351</v>
      </c>
      <c r="B77" s="396">
        <f>SUM(B78:B80)</f>
        <v>1144</v>
      </c>
      <c r="C77" s="397"/>
      <c r="D77" s="398"/>
      <c r="E77" s="368"/>
      <c r="F77" s="395" t="s">
        <v>611</v>
      </c>
      <c r="G77" s="396">
        <f>+G78</f>
        <v>136</v>
      </c>
      <c r="H77" s="399"/>
      <c r="I77" s="400"/>
    </row>
    <row r="78" spans="1:9" ht="18" customHeight="1">
      <c r="A78" s="401" t="str">
        <f>+'PARTE DIC2021'!D74</f>
        <v>CMSBA-JP Barranquilla</v>
      </c>
      <c r="B78" s="283">
        <f>+'PARTE DIC2021'!E74</f>
        <v>454</v>
      </c>
      <c r="C78" s="360"/>
      <c r="D78" s="403">
        <v>3</v>
      </c>
      <c r="E78" s="368"/>
      <c r="F78" s="821" t="str">
        <f>+'PARTE DIC2021'!D81</f>
        <v>EPMSCSM Santa Marta</v>
      </c>
      <c r="G78" s="405">
        <f>+'[2]tablas 34-41 REGIONALES  '!D131</f>
        <v>136</v>
      </c>
      <c r="H78" s="318"/>
      <c r="I78" s="403">
        <v>3</v>
      </c>
    </row>
    <row r="79" spans="1:9" ht="18" customHeight="1">
      <c r="A79" s="406" t="str">
        <f>+'PARTE DIC2021'!D86</f>
        <v>EPMSCBA-ERE Barranquilla</v>
      </c>
      <c r="B79" s="407">
        <f>+'PARTE DIC2021'!E86</f>
        <v>640</v>
      </c>
      <c r="C79" s="360"/>
      <c r="D79" s="403">
        <v>3</v>
      </c>
      <c r="E79" s="368"/>
      <c r="F79" s="792"/>
      <c r="G79" s="628"/>
      <c r="H79" s="318"/>
      <c r="I79" s="403"/>
    </row>
    <row r="80" spans="1:9" ht="18" customHeight="1">
      <c r="A80" s="1117" t="str">
        <f>+'PARTE DIC2021'!D75</f>
        <v>CPMSSAB-ERE Sabanalarga</v>
      </c>
      <c r="B80" s="1118">
        <f>+'PARTE DIC2021'!E75</f>
        <v>50</v>
      </c>
      <c r="C80" s="360"/>
      <c r="D80" s="403">
        <v>3</v>
      </c>
      <c r="E80" s="368"/>
      <c r="F80" s="395" t="s">
        <v>352</v>
      </c>
      <c r="G80" s="411">
        <f>SUM(G81:G82)</f>
        <v>557</v>
      </c>
      <c r="H80" s="318"/>
      <c r="I80" s="403"/>
    </row>
    <row r="81" spans="1:9" ht="18" customHeight="1">
      <c r="A81" s="412"/>
      <c r="B81" s="819"/>
      <c r="C81" s="413"/>
      <c r="D81" s="403"/>
      <c r="E81" s="414"/>
      <c r="F81" s="1119" t="str">
        <f>+'PARTE DIC2021'!D85</f>
        <v>CPMSCOR Corozal</v>
      </c>
      <c r="G81" s="1120">
        <f>+'PARTE DIC2021'!E85</f>
        <v>45</v>
      </c>
      <c r="H81" s="318"/>
      <c r="I81" s="403">
        <v>3</v>
      </c>
    </row>
    <row r="82" spans="1:9" ht="18" customHeight="1">
      <c r="A82" s="395" t="s">
        <v>353</v>
      </c>
      <c r="B82" s="396">
        <f>SUM(B83:B84)</f>
        <v>1536</v>
      </c>
      <c r="C82" s="364"/>
      <c r="D82" s="403"/>
      <c r="E82" s="368"/>
      <c r="F82" s="416" t="str">
        <f>+'PARTE DIC2021'!D84</f>
        <v>EPMSCSIN Sincelejo</v>
      </c>
      <c r="G82" s="410">
        <f>+'PARTE DIC2021'!E84</f>
        <v>512</v>
      </c>
      <c r="H82" s="417"/>
      <c r="I82" s="418">
        <v>3</v>
      </c>
    </row>
    <row r="83" spans="1:9" ht="18" customHeight="1">
      <c r="A83" s="401" t="str">
        <f>+'PARTE DIC2021'!D76</f>
        <v>EPMSCCAR Cartagena</v>
      </c>
      <c r="B83" s="283">
        <f>+'PARTE DIC2021'!E76</f>
        <v>1464</v>
      </c>
      <c r="C83" s="360"/>
      <c r="D83" s="403">
        <v>3</v>
      </c>
      <c r="E83" s="368"/>
      <c r="F83" s="419"/>
      <c r="G83" s="370"/>
      <c r="H83" s="370"/>
      <c r="I83" s="420"/>
    </row>
    <row r="84" spans="1:9" ht="18" customHeight="1">
      <c r="A84" s="409" t="str">
        <f>+'PARTE DIC2021'!D77</f>
        <v>EPMSCMAG Magangué</v>
      </c>
      <c r="B84" s="410">
        <f>+'PARTE DIC2021'!E77</f>
        <v>72</v>
      </c>
      <c r="C84" s="360"/>
      <c r="D84" s="403">
        <v>3</v>
      </c>
      <c r="E84" s="368"/>
      <c r="F84" s="419"/>
      <c r="G84" s="370"/>
      <c r="H84" s="370"/>
      <c r="I84" s="420"/>
    </row>
    <row r="85" spans="1:9" ht="18" customHeight="1">
      <c r="A85" s="421"/>
      <c r="B85" s="422"/>
      <c r="C85" s="360"/>
      <c r="D85" s="403"/>
      <c r="E85" s="368"/>
      <c r="F85" s="423"/>
      <c r="G85" s="424"/>
      <c r="H85" s="424"/>
      <c r="I85" s="425"/>
    </row>
    <row r="86" spans="1:9" ht="18" customHeight="1">
      <c r="A86" s="395" t="s">
        <v>354</v>
      </c>
      <c r="B86" s="411">
        <f>SUM(B87:B88)</f>
        <v>1708</v>
      </c>
      <c r="C86" s="364"/>
      <c r="D86" s="403">
        <v>1</v>
      </c>
      <c r="E86" s="368"/>
      <c r="F86" s="426" t="s">
        <v>37</v>
      </c>
      <c r="G86" s="324" t="s">
        <v>14</v>
      </c>
      <c r="H86" s="324"/>
      <c r="I86" s="427"/>
    </row>
    <row r="87" spans="1:9" ht="18" customHeight="1">
      <c r="A87" s="415" t="str">
        <f>+'PARTE DIC2021'!D78</f>
        <v>EPMSCVAL-ERE Valledupar</v>
      </c>
      <c r="B87" s="283">
        <f>+'PARTE DIC2021'!E78</f>
        <v>256</v>
      </c>
      <c r="C87" s="360"/>
      <c r="D87" s="403">
        <v>3</v>
      </c>
      <c r="E87" s="368"/>
      <c r="F87" s="408"/>
      <c r="G87" s="327"/>
      <c r="H87" s="327"/>
      <c r="I87" s="428"/>
    </row>
    <row r="88" spans="1:9" ht="18" customHeight="1">
      <c r="A88" s="416" t="str">
        <f>+'PARTE DIC2021'!D87</f>
        <v>CPAMSVAL Valledupar</v>
      </c>
      <c r="B88" s="410">
        <f>+'PARTE DIC2021'!E87</f>
        <v>1452</v>
      </c>
      <c r="C88" s="360"/>
      <c r="D88" s="403">
        <v>2</v>
      </c>
      <c r="E88" s="368"/>
      <c r="F88" s="329" t="s">
        <v>355</v>
      </c>
      <c r="G88" s="287">
        <f>+B77+B82+B86-B88+B90+B94+B97+G77+G80</f>
        <v>5160</v>
      </c>
      <c r="H88" s="318"/>
      <c r="I88" s="429"/>
    </row>
    <row r="89" spans="1:9" ht="18" customHeight="1">
      <c r="A89" s="430"/>
      <c r="B89" s="820"/>
      <c r="C89" s="360"/>
      <c r="D89" s="403"/>
      <c r="E89" s="368"/>
      <c r="F89" s="329" t="s">
        <v>356</v>
      </c>
      <c r="G89" s="287">
        <f>+B88</f>
        <v>1452</v>
      </c>
      <c r="H89" s="318"/>
      <c r="I89" s="429"/>
    </row>
    <row r="90" spans="1:9" ht="18" customHeight="1">
      <c r="A90" s="395" t="s">
        <v>357</v>
      </c>
      <c r="B90" s="411">
        <f>SUM(B91:B92)</f>
        <v>1043</v>
      </c>
      <c r="C90" s="364"/>
      <c r="D90" s="403"/>
      <c r="E90" s="368"/>
      <c r="F90" s="329" t="s">
        <v>384</v>
      </c>
      <c r="G90" s="287">
        <v>0</v>
      </c>
      <c r="H90" s="318"/>
      <c r="I90" s="429"/>
    </row>
    <row r="91" spans="1:9" ht="18" customHeight="1">
      <c r="A91" s="415" t="str">
        <f>+'PARTE DIC2021'!D79</f>
        <v>EPMSCMON Montería</v>
      </c>
      <c r="B91" s="283">
        <f>+'PARTE DIC2021'!E79</f>
        <v>840</v>
      </c>
      <c r="C91" s="360"/>
      <c r="D91" s="403">
        <v>3</v>
      </c>
      <c r="E91" s="368"/>
      <c r="F91" s="431"/>
      <c r="G91" s="432">
        <f>SUM(G88:G90)</f>
        <v>6612</v>
      </c>
      <c r="H91" s="433"/>
      <c r="I91" s="434"/>
    </row>
    <row r="92" spans="1:9" ht="18" customHeight="1">
      <c r="A92" s="416" t="str">
        <f>+'PARTE DIC2021'!D88</f>
        <v>EPCTALT Tierralta</v>
      </c>
      <c r="B92" s="410">
        <f>+'PARTE DIC2021'!E88</f>
        <v>203</v>
      </c>
      <c r="C92" s="360"/>
      <c r="D92" s="403">
        <v>3</v>
      </c>
      <c r="E92" s="368"/>
      <c r="F92" s="408"/>
      <c r="G92" s="318"/>
      <c r="H92" s="318"/>
      <c r="I92" s="429"/>
    </row>
    <row r="93" spans="1:9" ht="18" customHeight="1">
      <c r="A93" s="430"/>
      <c r="B93" s="820"/>
      <c r="C93" s="360"/>
      <c r="D93" s="403"/>
      <c r="E93" s="368"/>
      <c r="F93" s="435" t="s">
        <v>58</v>
      </c>
      <c r="G93" s="436" t="s">
        <v>57</v>
      </c>
      <c r="H93" s="1841" t="s">
        <v>14</v>
      </c>
      <c r="I93" s="1842"/>
    </row>
    <row r="94" spans="1:9" ht="18" customHeight="1">
      <c r="A94" s="395" t="s">
        <v>358</v>
      </c>
      <c r="B94" s="396">
        <f>+B95</f>
        <v>100</v>
      </c>
      <c r="C94" s="364"/>
      <c r="D94" s="403"/>
      <c r="E94" s="368"/>
      <c r="F94" s="1843">
        <v>13</v>
      </c>
      <c r="G94" s="1838">
        <v>15</v>
      </c>
      <c r="H94" s="1840">
        <f>+G91</f>
        <v>6612</v>
      </c>
      <c r="I94" s="1846"/>
    </row>
    <row r="95" spans="1:9" ht="18" customHeight="1">
      <c r="A95" s="404" t="str">
        <f>+'PARTE DIC2021'!D80</f>
        <v>EPMSCRIO Riohacha</v>
      </c>
      <c r="B95" s="410">
        <f>+'PARTE DIC2021'!E80</f>
        <v>100</v>
      </c>
      <c r="C95" s="437"/>
      <c r="D95" s="403">
        <v>3</v>
      </c>
      <c r="E95" s="368"/>
      <c r="F95" s="1844"/>
      <c r="G95" s="1845"/>
      <c r="H95" s="1845"/>
      <c r="I95" s="1847"/>
    </row>
    <row r="96" spans="1:9" ht="18" customHeight="1">
      <c r="A96" s="438"/>
      <c r="B96" s="820"/>
      <c r="C96" s="360"/>
      <c r="D96" s="403"/>
      <c r="E96" s="368"/>
      <c r="F96" s="1122" t="s">
        <v>772</v>
      </c>
    </row>
    <row r="97" spans="1:10" ht="18" customHeight="1">
      <c r="A97" s="395" t="s">
        <v>359</v>
      </c>
      <c r="B97" s="411">
        <f>SUM(B98:B99)</f>
        <v>388</v>
      </c>
      <c r="C97" s="439"/>
      <c r="D97" s="403"/>
      <c r="E97" s="368"/>
    </row>
    <row r="98" spans="1:10" ht="18" customHeight="1">
      <c r="A98" s="440" t="str">
        <f>+'PARTE DIC2021'!D82</f>
        <v>EPMSCEBA El Banco</v>
      </c>
      <c r="B98" s="283">
        <f>+'PARTE DIC2021'!E82</f>
        <v>76</v>
      </c>
      <c r="C98" s="318"/>
      <c r="D98" s="403">
        <v>3</v>
      </c>
      <c r="E98" s="368"/>
    </row>
    <row r="99" spans="1:10" ht="18" customHeight="1">
      <c r="A99" s="441" t="str">
        <f>+'PARTE DIC2021'!D81</f>
        <v>EPMSCSM Santa Marta</v>
      </c>
      <c r="B99" s="410">
        <f>+'PARTE DIC2021'!E81</f>
        <v>312</v>
      </c>
      <c r="C99" s="442"/>
      <c r="D99" s="443">
        <v>3</v>
      </c>
      <c r="E99" s="444"/>
    </row>
    <row r="100" spans="1:10" ht="15" customHeight="1">
      <c r="A100" s="370"/>
      <c r="B100" s="20"/>
      <c r="C100" s="13"/>
      <c r="E100" s="444"/>
    </row>
    <row r="101" spans="1:10" ht="15" customHeight="1">
      <c r="E101" s="444"/>
    </row>
    <row r="102" spans="1:10" ht="15" customHeight="1">
      <c r="A102" s="1793" t="s">
        <v>446</v>
      </c>
      <c r="B102" s="1793"/>
      <c r="C102" s="1793"/>
      <c r="D102" s="1793"/>
      <c r="E102" s="1793"/>
      <c r="F102" s="1793"/>
      <c r="G102" s="1793"/>
      <c r="H102" s="1793"/>
      <c r="I102" s="1793"/>
    </row>
    <row r="103" spans="1:10" ht="15" customHeight="1">
      <c r="E103" s="444"/>
    </row>
    <row r="104" spans="1:10" s="57" customFormat="1" ht="24" customHeight="1">
      <c r="A104" s="385" t="s">
        <v>360</v>
      </c>
      <c r="B104" s="1834" t="s">
        <v>101</v>
      </c>
      <c r="C104" s="1834" t="s">
        <v>333</v>
      </c>
      <c r="D104" s="1836"/>
      <c r="E104" s="386"/>
      <c r="F104" s="385" t="s">
        <v>360</v>
      </c>
      <c r="G104" s="1834" t="s">
        <v>101</v>
      </c>
      <c r="H104" s="1834" t="s">
        <v>333</v>
      </c>
      <c r="I104" s="1836"/>
    </row>
    <row r="105" spans="1:10" s="57" customFormat="1" ht="24" customHeight="1" thickBot="1">
      <c r="A105" s="387" t="s">
        <v>767</v>
      </c>
      <c r="B105" s="1835"/>
      <c r="C105" s="1835"/>
      <c r="D105" s="1837"/>
      <c r="E105" s="386"/>
      <c r="F105" s="387" t="s">
        <v>767</v>
      </c>
      <c r="G105" s="1835"/>
      <c r="H105" s="1835"/>
      <c r="I105" s="1837"/>
    </row>
    <row r="106" spans="1:10" s="57" customFormat="1" ht="18" customHeight="1">
      <c r="A106" s="445"/>
      <c r="B106" s="264"/>
      <c r="C106" s="264"/>
      <c r="D106" s="446"/>
      <c r="E106" s="349"/>
      <c r="F106" s="447"/>
      <c r="G106" s="448"/>
      <c r="H106" s="448"/>
      <c r="I106" s="449"/>
      <c r="J106" s="450"/>
    </row>
    <row r="107" spans="1:10" ht="18" customHeight="1">
      <c r="A107" s="395" t="s">
        <v>361</v>
      </c>
      <c r="B107" s="396">
        <f>+B108</f>
        <v>212</v>
      </c>
      <c r="C107" s="397"/>
      <c r="D107" s="400"/>
      <c r="E107" s="368"/>
      <c r="F107" s="395" t="s">
        <v>362</v>
      </c>
      <c r="G107" s="396">
        <f>SUM(G108:G116)</f>
        <v>5264</v>
      </c>
      <c r="H107" s="451"/>
      <c r="I107" s="400"/>
      <c r="J107" s="274"/>
    </row>
    <row r="108" spans="1:10" ht="18" customHeight="1">
      <c r="A108" s="452" t="str">
        <f>+'PARTE DIC2021'!D89</f>
        <v>EPMSCARA Arauca</v>
      </c>
      <c r="B108" s="453">
        <f>+'PARTE DIC2021'!E89</f>
        <v>212</v>
      </c>
      <c r="C108" s="360"/>
      <c r="D108" s="454">
        <v>3</v>
      </c>
      <c r="E108" s="368"/>
      <c r="F108" s="455" t="str">
        <f>+'PARTE DIC2021'!D94</f>
        <v>EPMSCBBJ Barrancabermeja</v>
      </c>
      <c r="G108" s="283">
        <f>+'PARTE DIC2021'!E94</f>
        <v>185</v>
      </c>
      <c r="H108" s="456"/>
      <c r="I108" s="403">
        <v>3</v>
      </c>
      <c r="J108" s="274"/>
    </row>
    <row r="109" spans="1:10" ht="18" customHeight="1">
      <c r="A109" s="430"/>
      <c r="B109" s="820"/>
      <c r="C109" s="360"/>
      <c r="D109" s="403"/>
      <c r="E109" s="368"/>
      <c r="F109" s="457" t="str">
        <f>+'PARTE DIC2021'!D93</f>
        <v>CPMSBUC-ERE-JP Bucaramanga</v>
      </c>
      <c r="G109" s="290">
        <f>+'PARTE DIC2021'!E93</f>
        <v>1520</v>
      </c>
      <c r="H109" s="456"/>
      <c r="I109" s="403">
        <v>3</v>
      </c>
      <c r="J109" s="274"/>
    </row>
    <row r="110" spans="1:10" ht="18" customHeight="1">
      <c r="A110" s="395" t="s">
        <v>354</v>
      </c>
      <c r="B110" s="396">
        <f>+B111</f>
        <v>78</v>
      </c>
      <c r="C110" s="364"/>
      <c r="D110" s="403"/>
      <c r="E110" s="368"/>
      <c r="F110" s="457" t="str">
        <f>+'PARTE DIC2021'!D100</f>
        <v>CPMSMBUC Bucaramanga</v>
      </c>
      <c r="G110" s="290">
        <f>+'PARTE DIC2021'!E100</f>
        <v>247</v>
      </c>
      <c r="H110" s="456"/>
      <c r="I110" s="403">
        <v>3</v>
      </c>
      <c r="J110" s="274"/>
    </row>
    <row r="111" spans="1:10" ht="18" customHeight="1">
      <c r="A111" s="452" t="str">
        <f>+'PARTE DIC2021'!D90</f>
        <v>EPMSCAGU Aguachica</v>
      </c>
      <c r="B111" s="453">
        <f>+'PARTE DIC2021'!E90</f>
        <v>78</v>
      </c>
      <c r="C111" s="360"/>
      <c r="D111" s="403">
        <v>3</v>
      </c>
      <c r="E111" s="368"/>
      <c r="F111" s="457" t="str">
        <f>+'PARTE DIC2021'!D101</f>
        <v>CPAMSGIR Girón</v>
      </c>
      <c r="G111" s="290">
        <f>+'PARTE DIC2021'!E101</f>
        <v>2424</v>
      </c>
      <c r="H111" s="456"/>
      <c r="I111" s="403">
        <v>2</v>
      </c>
      <c r="J111" s="274"/>
    </row>
    <row r="112" spans="1:10" ht="18" customHeight="1">
      <c r="A112" s="1850"/>
      <c r="B112" s="1851"/>
      <c r="C112" s="327"/>
      <c r="D112" s="403"/>
      <c r="E112" s="368"/>
      <c r="F112" s="457" t="str">
        <f>+'PARTE DIC2021'!D95</f>
        <v>EPMSCMAL Málaga</v>
      </c>
      <c r="G112" s="290">
        <f>+'PARTE DIC2021'!E95</f>
        <v>60</v>
      </c>
      <c r="H112" s="456"/>
      <c r="I112" s="403">
        <v>3</v>
      </c>
      <c r="J112" s="274"/>
    </row>
    <row r="113" spans="1:10" ht="18" customHeight="1">
      <c r="A113" s="395" t="s">
        <v>363</v>
      </c>
      <c r="B113" s="396">
        <f>SUM(B114:B116)</f>
        <v>3114</v>
      </c>
      <c r="C113" s="364"/>
      <c r="D113" s="403"/>
      <c r="E113" s="368"/>
      <c r="F113" s="457" t="str">
        <f>+'PARTE DIC2021'!D96</f>
        <v>EPMSSGI San Gil</v>
      </c>
      <c r="G113" s="290">
        <f>+'PARTE DIC2021'!E96</f>
        <v>262</v>
      </c>
      <c r="H113" s="456"/>
      <c r="I113" s="403">
        <v>3</v>
      </c>
      <c r="J113" s="274"/>
    </row>
    <row r="114" spans="1:10" ht="18" customHeight="1">
      <c r="A114" s="455" t="str">
        <f>+'PARTE DIC2021'!D102</f>
        <v>COCUC - ERE Cúcuta</v>
      </c>
      <c r="B114" s="283">
        <f>+'PARTE DIC2021'!E102</f>
        <v>2636</v>
      </c>
      <c r="C114" s="360"/>
      <c r="D114" s="403">
        <v>1</v>
      </c>
      <c r="E114" s="368"/>
      <c r="F114" s="457" t="str">
        <f>+'PARTE DIC2021'!D98</f>
        <v>CPMSSVC San Vicente de Chucurí</v>
      </c>
      <c r="G114" s="290">
        <f>+'PARTE DIC2021'!E98</f>
        <v>56</v>
      </c>
      <c r="H114" s="456"/>
      <c r="I114" s="403">
        <v>3</v>
      </c>
      <c r="J114" s="274"/>
    </row>
    <row r="115" spans="1:10" ht="18" customHeight="1">
      <c r="A115" s="457" t="str">
        <f>+'PARTE DIC2021'!D92</f>
        <v>EPMSCOC Ocaña</v>
      </c>
      <c r="B115" s="290">
        <f>+'PARTE DIC2021'!E92</f>
        <v>198</v>
      </c>
      <c r="C115" s="360"/>
      <c r="D115" s="403">
        <v>3</v>
      </c>
      <c r="E115" s="368"/>
      <c r="F115" s="457" t="str">
        <f>+'PARTE DIC2021'!D97</f>
        <v>EPMSCSOC Socorro</v>
      </c>
      <c r="G115" s="290">
        <f>+'PARTE DIC2021'!E97</f>
        <v>318</v>
      </c>
      <c r="H115" s="456"/>
      <c r="I115" s="403">
        <v>3</v>
      </c>
      <c r="J115" s="274"/>
    </row>
    <row r="116" spans="1:10" ht="18" customHeight="1">
      <c r="A116" s="458" t="str">
        <f>+'PARTE DIC2021'!D91</f>
        <v>EPMSCPAM Pamplona</v>
      </c>
      <c r="B116" s="298">
        <f>+'PARTE DIC2021'!E91</f>
        <v>280</v>
      </c>
      <c r="C116" s="459"/>
      <c r="D116" s="418">
        <v>3</v>
      </c>
      <c r="E116" s="368"/>
      <c r="F116" s="458" t="str">
        <f>+'PARTE DIC2021'!D99</f>
        <v>EPMSCVEL Vélez</v>
      </c>
      <c r="G116" s="298">
        <f>+'PARTE DIC2021'!E99</f>
        <v>192</v>
      </c>
      <c r="H116" s="460"/>
      <c r="I116" s="418">
        <v>3</v>
      </c>
      <c r="J116" s="274"/>
    </row>
    <row r="117" spans="1:10" ht="18" customHeight="1">
      <c r="A117" s="1852"/>
      <c r="B117" s="1853"/>
      <c r="C117" s="461"/>
      <c r="D117" s="462"/>
      <c r="E117" s="368"/>
      <c r="F117" s="408"/>
      <c r="G117" s="318"/>
      <c r="H117" s="318"/>
      <c r="I117" s="429"/>
      <c r="J117" s="274"/>
    </row>
    <row r="118" spans="1:10" ht="18" customHeight="1">
      <c r="A118" s="423"/>
      <c r="B118" s="1854"/>
      <c r="C118" s="1854"/>
      <c r="D118" s="1855"/>
      <c r="E118" s="368"/>
      <c r="F118" s="435" t="s">
        <v>58</v>
      </c>
      <c r="G118" s="436" t="s">
        <v>57</v>
      </c>
      <c r="H118" s="1841" t="s">
        <v>14</v>
      </c>
      <c r="I118" s="1842"/>
      <c r="J118" s="274"/>
    </row>
    <row r="119" spans="1:10" ht="18" customHeight="1">
      <c r="A119" s="426" t="s">
        <v>37</v>
      </c>
      <c r="B119" s="324" t="s">
        <v>14</v>
      </c>
      <c r="C119" s="324"/>
      <c r="D119" s="427"/>
      <c r="E119" s="368"/>
      <c r="F119" s="1843">
        <v>13</v>
      </c>
      <c r="G119" s="1838">
        <v>14</v>
      </c>
      <c r="H119" s="1840">
        <f>+B124</f>
        <v>8668</v>
      </c>
      <c r="I119" s="1846"/>
      <c r="J119" s="274"/>
    </row>
    <row r="120" spans="1:10" ht="18" customHeight="1">
      <c r="A120" s="408"/>
      <c r="B120" s="1856"/>
      <c r="C120" s="1856"/>
      <c r="D120" s="1857"/>
      <c r="E120" s="368"/>
      <c r="F120" s="1844"/>
      <c r="G120" s="1845"/>
      <c r="H120" s="1845"/>
      <c r="I120" s="1847"/>
      <c r="J120" s="274"/>
    </row>
    <row r="121" spans="1:10" ht="18" customHeight="1">
      <c r="A121" s="329" t="s">
        <v>364</v>
      </c>
      <c r="B121" s="287">
        <f>+B107+B110+B113+G107-B114-G111</f>
        <v>3608</v>
      </c>
      <c r="C121" s="318"/>
      <c r="D121" s="429"/>
      <c r="E121" s="368"/>
      <c r="F121" s="343"/>
      <c r="G121" s="343"/>
      <c r="H121" s="343"/>
      <c r="I121" s="343"/>
      <c r="J121" s="274"/>
    </row>
    <row r="122" spans="1:10" ht="18" customHeight="1">
      <c r="A122" s="329" t="s">
        <v>356</v>
      </c>
      <c r="B122" s="287">
        <f>+G111</f>
        <v>2424</v>
      </c>
      <c r="C122" s="318"/>
      <c r="D122" s="429"/>
      <c r="E122" s="368"/>
      <c r="F122" s="343"/>
      <c r="G122" s="343"/>
      <c r="H122" s="343"/>
      <c r="I122" s="343"/>
      <c r="J122" s="274"/>
    </row>
    <row r="123" spans="1:10" ht="18" customHeight="1">
      <c r="A123" s="329" t="s">
        <v>385</v>
      </c>
      <c r="B123" s="287">
        <f>+B114</f>
        <v>2636</v>
      </c>
      <c r="C123" s="318"/>
      <c r="D123" s="429"/>
      <c r="E123" s="368"/>
      <c r="F123" s="343"/>
      <c r="G123" s="343"/>
      <c r="H123" s="343"/>
      <c r="I123" s="343"/>
      <c r="J123" s="274"/>
    </row>
    <row r="124" spans="1:10" ht="18" customHeight="1">
      <c r="A124" s="463"/>
      <c r="B124" s="464">
        <f>SUM(B121:B123)</f>
        <v>8668</v>
      </c>
      <c r="C124" s="465"/>
      <c r="D124" s="466"/>
      <c r="E124" s="368"/>
      <c r="F124" s="343"/>
      <c r="G124" s="343"/>
      <c r="H124" s="343"/>
      <c r="I124" s="343"/>
      <c r="J124" s="274"/>
    </row>
    <row r="125" spans="1:10" ht="15" customHeight="1">
      <c r="A125" s="344"/>
      <c r="B125" s="345"/>
      <c r="C125" s="346"/>
      <c r="D125" s="342"/>
      <c r="E125" s="342"/>
    </row>
    <row r="126" spans="1:10" ht="15" customHeight="1">
      <c r="E126" s="444"/>
    </row>
    <row r="127" spans="1:10" ht="15" customHeight="1">
      <c r="A127" s="1793" t="s">
        <v>447</v>
      </c>
      <c r="B127" s="1793"/>
      <c r="C127" s="1793"/>
      <c r="D127" s="1793"/>
      <c r="E127" s="1793"/>
      <c r="F127" s="1793"/>
      <c r="G127" s="1793"/>
      <c r="H127" s="1793"/>
      <c r="I127" s="1793"/>
    </row>
    <row r="128" spans="1:10" ht="15" customHeight="1">
      <c r="E128" s="444"/>
    </row>
    <row r="129" spans="1:9" s="57" customFormat="1" ht="24" customHeight="1">
      <c r="A129" s="385" t="s">
        <v>366</v>
      </c>
      <c r="B129" s="1834" t="s">
        <v>101</v>
      </c>
      <c r="C129" s="1834" t="s">
        <v>333</v>
      </c>
      <c r="D129" s="1836"/>
      <c r="E129" s="386"/>
      <c r="F129" s="385" t="s">
        <v>366</v>
      </c>
      <c r="G129" s="1834" t="s">
        <v>101</v>
      </c>
      <c r="H129" s="1834" t="s">
        <v>333</v>
      </c>
      <c r="I129" s="1836"/>
    </row>
    <row r="130" spans="1:9" s="57" customFormat="1" ht="24" customHeight="1" thickBot="1">
      <c r="A130" s="387" t="s">
        <v>767</v>
      </c>
      <c r="B130" s="1835"/>
      <c r="C130" s="1835"/>
      <c r="D130" s="1837"/>
      <c r="E130" s="386"/>
      <c r="F130" s="387" t="s">
        <v>767</v>
      </c>
      <c r="G130" s="1835"/>
      <c r="H130" s="1835"/>
      <c r="I130" s="1837"/>
    </row>
    <row r="131" spans="1:9" s="57" customFormat="1" ht="18" customHeight="1">
      <c r="A131" s="388"/>
      <c r="B131" s="389"/>
      <c r="C131" s="389"/>
      <c r="D131" s="390"/>
      <c r="E131" s="391"/>
      <c r="F131" s="392"/>
      <c r="G131" s="393"/>
      <c r="H131" s="393"/>
      <c r="I131" s="394"/>
    </row>
    <row r="132" spans="1:9" ht="18" customHeight="1">
      <c r="A132" s="395" t="s">
        <v>367</v>
      </c>
      <c r="B132" s="396">
        <f>SUM(B133:B146)</f>
        <v>2883</v>
      </c>
      <c r="C132" s="1848"/>
      <c r="D132" s="1849"/>
      <c r="E132" s="368"/>
      <c r="F132" s="467" t="s">
        <v>368</v>
      </c>
      <c r="G132" s="396">
        <f>SUM(G133:G134)</f>
        <v>367</v>
      </c>
      <c r="H132" s="468"/>
      <c r="I132" s="469"/>
    </row>
    <row r="133" spans="1:9" ht="18" customHeight="1">
      <c r="A133" s="470" t="str">
        <f>+'PARTE DIC2021'!D105</f>
        <v>EPMSCAND Andes</v>
      </c>
      <c r="B133" s="283">
        <f>+'PARTE DIC2021'!E105</f>
        <v>168</v>
      </c>
      <c r="C133" s="471"/>
      <c r="D133" s="454">
        <v>3</v>
      </c>
      <c r="E133" s="368"/>
      <c r="F133" s="470" t="str">
        <f>+'PARTE DIC2021'!D119</f>
        <v>EPMSCIST Istmina</v>
      </c>
      <c r="G133" s="474">
        <f>+'PARTE DIC2021'!E119</f>
        <v>81</v>
      </c>
      <c r="H133" s="472"/>
      <c r="I133" s="454">
        <v>3</v>
      </c>
    </row>
    <row r="134" spans="1:9" ht="18" customHeight="1">
      <c r="A134" s="473" t="str">
        <f>+'PARTE DIC2021'!D118</f>
        <v>CPMSAPD Apartadó</v>
      </c>
      <c r="B134" s="474">
        <f>+'PARTE DIC2021'!E118</f>
        <v>296</v>
      </c>
      <c r="C134" s="472"/>
      <c r="D134" s="454">
        <v>3</v>
      </c>
      <c r="E134" s="368"/>
      <c r="F134" s="475" t="str">
        <f>+'PARTE DIC2021'!D117</f>
        <v>EPMSCQUI Quibdó</v>
      </c>
      <c r="G134" s="478">
        <f>+'PARTE DIC2021'!E117</f>
        <v>286</v>
      </c>
      <c r="H134" s="476"/>
      <c r="I134" s="477">
        <v>3</v>
      </c>
    </row>
    <row r="135" spans="1:9" ht="18" customHeight="1">
      <c r="A135" s="473" t="str">
        <f>+'PARTE DIC2021'!D106</f>
        <v>EPMSCBOV Bolívar -Antioquia</v>
      </c>
      <c r="B135" s="474">
        <f>+'PARTE DIC2021'!E106</f>
        <v>124</v>
      </c>
      <c r="C135" s="472"/>
      <c r="D135" s="454">
        <v>3</v>
      </c>
      <c r="E135" s="368"/>
      <c r="F135" s="419"/>
      <c r="G135" s="370"/>
      <c r="H135" s="370"/>
      <c r="I135" s="420"/>
    </row>
    <row r="136" spans="1:9" ht="18" customHeight="1">
      <c r="A136" s="473" t="str">
        <f>+'PARTE DIC2021'!D107</f>
        <v>EPMSCCAU Caucasia</v>
      </c>
      <c r="B136" s="474">
        <f>+'PARTE DIC2021'!E107</f>
        <v>63</v>
      </c>
      <c r="C136" s="472"/>
      <c r="D136" s="454">
        <v>3</v>
      </c>
      <c r="E136" s="368"/>
      <c r="F136" s="423"/>
      <c r="G136" s="424"/>
      <c r="H136" s="424"/>
      <c r="I136" s="425"/>
    </row>
    <row r="137" spans="1:9" ht="18" customHeight="1">
      <c r="A137" s="473" t="str">
        <f>+'PARTE DIC2021'!D108</f>
        <v>CPMSJER Jerico</v>
      </c>
      <c r="B137" s="474">
        <f>+'PARTE DIC2021'!E108</f>
        <v>83</v>
      </c>
      <c r="C137" s="472"/>
      <c r="D137" s="454">
        <v>3</v>
      </c>
      <c r="E137" s="368"/>
      <c r="F137" s="426" t="s">
        <v>37</v>
      </c>
      <c r="G137" s="324" t="s">
        <v>14</v>
      </c>
      <c r="H137" s="324"/>
      <c r="I137" s="427"/>
    </row>
    <row r="138" spans="1:9" ht="18" customHeight="1">
      <c r="A138" s="473" t="str">
        <f>+'PARTE DIC2021'!D109</f>
        <v>EPMSCLCJ La Ceja</v>
      </c>
      <c r="B138" s="474">
        <f>+'PARTE DIC2021'!E109</f>
        <v>114</v>
      </c>
      <c r="C138" s="472"/>
      <c r="D138" s="454">
        <v>3</v>
      </c>
      <c r="E138" s="368"/>
      <c r="F138" s="408"/>
      <c r="G138" s="327"/>
      <c r="H138" s="327"/>
      <c r="I138" s="428"/>
    </row>
    <row r="139" spans="1:9" ht="18" customHeight="1">
      <c r="A139" s="473" t="str">
        <f>+'PARTE DIC2021'!D110</f>
        <v>EPMSCPBE Puerto Berrio</v>
      </c>
      <c r="B139" s="474">
        <f>+'PARTE DIC2021'!E110</f>
        <v>150</v>
      </c>
      <c r="C139" s="472"/>
      <c r="D139" s="454">
        <v>3</v>
      </c>
      <c r="E139" s="368"/>
      <c r="F139" s="329" t="s">
        <v>369</v>
      </c>
      <c r="G139" s="287">
        <f>+B132-B140+B148-B151+G132</f>
        <v>3677</v>
      </c>
      <c r="H139" s="318"/>
      <c r="I139" s="429"/>
    </row>
    <row r="140" spans="1:9" ht="18" customHeight="1">
      <c r="A140" s="473" t="str">
        <f>+'PARTE DIC2021'!D120</f>
        <v>CPMSPTR Puerto Triunfo</v>
      </c>
      <c r="B140" s="474">
        <f>+'PARTE DIC2021'!E120</f>
        <v>1316</v>
      </c>
      <c r="C140" s="472"/>
      <c r="D140" s="454">
        <v>1</v>
      </c>
      <c r="E140" s="368"/>
      <c r="F140" s="329" t="s">
        <v>370</v>
      </c>
      <c r="G140" s="287">
        <v>0</v>
      </c>
      <c r="H140" s="318"/>
      <c r="I140" s="429"/>
    </row>
    <row r="141" spans="1:9" ht="18" customHeight="1">
      <c r="A141" s="473" t="str">
        <f>+'PARTE DIC2021'!D111</f>
        <v>EPMSCSBA Santa Bárbara</v>
      </c>
      <c r="B141" s="474">
        <f>+'PARTE DIC2021'!E111</f>
        <v>50</v>
      </c>
      <c r="C141" s="472"/>
      <c r="D141" s="454">
        <v>3</v>
      </c>
      <c r="E141" s="368"/>
      <c r="F141" s="329" t="s">
        <v>386</v>
      </c>
      <c r="G141" s="287">
        <f>+B151+B140</f>
        <v>4481</v>
      </c>
      <c r="H141" s="318"/>
      <c r="I141" s="429"/>
    </row>
    <row r="142" spans="1:9" ht="18" customHeight="1">
      <c r="A142" s="473" t="str">
        <f>+'PARTE DIC2021'!D113</f>
        <v>EPMSCSRO Santa Rosa de Osos</v>
      </c>
      <c r="B142" s="474">
        <f>+'PARTE DIC2021'!E113</f>
        <v>76</v>
      </c>
      <c r="C142" s="472"/>
      <c r="D142" s="454">
        <v>3</v>
      </c>
      <c r="E142" s="368"/>
      <c r="F142" s="431"/>
      <c r="G142" s="432">
        <f>SUM(G139:G141)</f>
        <v>8158</v>
      </c>
      <c r="H142" s="433"/>
      <c r="I142" s="434"/>
    </row>
    <row r="143" spans="1:9" ht="18" customHeight="1">
      <c r="A143" s="473" t="str">
        <f>+'PARTE DIC2021'!D112</f>
        <v>CPMSSDO Santo Domingo</v>
      </c>
      <c r="B143" s="474">
        <f>+'PARTE DIC2021'!E112</f>
        <v>115</v>
      </c>
      <c r="C143" s="472"/>
      <c r="D143" s="454">
        <v>3</v>
      </c>
      <c r="E143" s="368"/>
      <c r="F143" s="408"/>
      <c r="G143" s="318"/>
      <c r="H143" s="318"/>
      <c r="I143" s="429"/>
    </row>
    <row r="144" spans="1:9" ht="18" customHeight="1">
      <c r="A144" s="473" t="str">
        <f>+'PARTE DIC2021'!D114</f>
        <v>EPMSCSON Sonson</v>
      </c>
      <c r="B144" s="474">
        <f>+'PARTE DIC2021'!E114</f>
        <v>75</v>
      </c>
      <c r="C144" s="472"/>
      <c r="D144" s="454">
        <v>3</v>
      </c>
      <c r="E144" s="368"/>
      <c r="F144" s="435" t="s">
        <v>58</v>
      </c>
      <c r="G144" s="436" t="s">
        <v>57</v>
      </c>
      <c r="H144" s="1841" t="s">
        <v>14</v>
      </c>
      <c r="I144" s="1842"/>
    </row>
    <row r="145" spans="1:13" ht="18" customHeight="1">
      <c r="A145" s="473" t="str">
        <f>+'PARTE DIC2021'!D115</f>
        <v>EPMSCTAM Támesis</v>
      </c>
      <c r="B145" s="474">
        <f>+'PARTE DIC2021'!E115</f>
        <v>62</v>
      </c>
      <c r="C145" s="472"/>
      <c r="D145" s="454">
        <v>3</v>
      </c>
      <c r="E145" s="368"/>
      <c r="F145" s="1843">
        <v>19</v>
      </c>
      <c r="G145" s="1838">
        <v>19</v>
      </c>
      <c r="H145" s="1840">
        <f>+G142</f>
        <v>8158</v>
      </c>
      <c r="I145" s="1846"/>
    </row>
    <row r="146" spans="1:13" ht="18" customHeight="1">
      <c r="A146" s="475" t="str">
        <f>+'PARTE DIC2021'!D116</f>
        <v>EPMSCYAR Yarumal</v>
      </c>
      <c r="B146" s="478">
        <f>+'PARTE DIC2021'!E116</f>
        <v>191</v>
      </c>
      <c r="C146" s="472"/>
      <c r="D146" s="454">
        <v>3</v>
      </c>
      <c r="E146" s="368"/>
      <c r="F146" s="1844"/>
      <c r="G146" s="1845"/>
      <c r="H146" s="1845"/>
      <c r="I146" s="1847"/>
      <c r="M146" s="315"/>
    </row>
    <row r="147" spans="1:13" ht="18" customHeight="1">
      <c r="A147" s="1123"/>
      <c r="B147" s="479"/>
      <c r="C147" s="13"/>
      <c r="D147" s="1124"/>
      <c r="E147" s="368"/>
    </row>
    <row r="148" spans="1:13" ht="18" customHeight="1">
      <c r="A148" s="480" t="s">
        <v>371</v>
      </c>
      <c r="B148" s="481">
        <f>SUM(B149:B151)</f>
        <v>4908</v>
      </c>
      <c r="C148" s="482"/>
      <c r="D148" s="483"/>
      <c r="E148" s="368"/>
    </row>
    <row r="149" spans="1:13" ht="18" customHeight="1">
      <c r="A149" s="473" t="str">
        <f>+'PARTE DIC2021'!D104</f>
        <v>CPMSBEL Bello</v>
      </c>
      <c r="B149" s="283">
        <f>+'PARTE DIC2021'!E104</f>
        <v>1368</v>
      </c>
      <c r="C149" s="472"/>
      <c r="D149" s="454">
        <v>3</v>
      </c>
      <c r="E149" s="368"/>
    </row>
    <row r="150" spans="1:13" ht="18" customHeight="1">
      <c r="A150" s="473" t="str">
        <f>+'PARTE DIC2021'!D103</f>
        <v>CPAMSPA-ERE La Paz</v>
      </c>
      <c r="B150" s="474">
        <f>+'PARTE DIC2021'!E103</f>
        <v>375</v>
      </c>
      <c r="C150" s="484"/>
      <c r="D150" s="454">
        <v>3</v>
      </c>
      <c r="E150" s="368"/>
    </row>
    <row r="151" spans="1:13" ht="18" customHeight="1">
      <c r="A151" s="486" t="str">
        <f>+'PARTE DIC2021'!D121</f>
        <v>COPED Medellín Pedregal</v>
      </c>
      <c r="B151" s="478">
        <f>+'PARTE DIC2021'!E121</f>
        <v>3165</v>
      </c>
      <c r="C151" s="487"/>
      <c r="D151" s="488">
        <v>1</v>
      </c>
      <c r="E151" s="368"/>
      <c r="F151" s="485"/>
      <c r="G151" s="485"/>
      <c r="H151" s="485"/>
      <c r="I151" s="485"/>
    </row>
    <row r="152" spans="1:13" ht="18" customHeight="1">
      <c r="E152" s="368"/>
      <c r="F152" s="485"/>
      <c r="G152" s="485"/>
      <c r="H152" s="485"/>
      <c r="I152" s="485"/>
    </row>
    <row r="153" spans="1:13" ht="15" customHeight="1">
      <c r="E153" s="444"/>
    </row>
    <row r="154" spans="1:13" ht="15" customHeight="1">
      <c r="E154" s="444"/>
    </row>
    <row r="155" spans="1:13" ht="15" customHeight="1">
      <c r="A155" s="1793" t="s">
        <v>448</v>
      </c>
      <c r="B155" s="1793"/>
      <c r="C155" s="1793"/>
      <c r="D155" s="1793"/>
      <c r="E155" s="1793"/>
      <c r="F155" s="1793"/>
      <c r="G155" s="1793"/>
      <c r="H155" s="1793"/>
      <c r="I155" s="1793"/>
    </row>
    <row r="156" spans="1:13" ht="15" customHeight="1">
      <c r="E156" s="444"/>
    </row>
    <row r="157" spans="1:13" s="57" customFormat="1" ht="24" customHeight="1">
      <c r="A157" s="385" t="s">
        <v>372</v>
      </c>
      <c r="B157" s="1834" t="s">
        <v>101</v>
      </c>
      <c r="C157" s="1834" t="s">
        <v>333</v>
      </c>
      <c r="D157" s="1836"/>
      <c r="E157" s="386"/>
      <c r="F157" s="385" t="s">
        <v>372</v>
      </c>
      <c r="G157" s="1834" t="s">
        <v>101</v>
      </c>
      <c r="H157" s="1834" t="s">
        <v>333</v>
      </c>
      <c r="I157" s="1836"/>
      <c r="J157" s="450"/>
    </row>
    <row r="158" spans="1:13" s="57" customFormat="1" ht="24" customHeight="1" thickBot="1">
      <c r="A158" s="387" t="s">
        <v>767</v>
      </c>
      <c r="B158" s="1835"/>
      <c r="C158" s="1835"/>
      <c r="D158" s="1837"/>
      <c r="E158" s="386"/>
      <c r="F158" s="387" t="s">
        <v>767</v>
      </c>
      <c r="G158" s="1835"/>
      <c r="H158" s="1835"/>
      <c r="I158" s="1837"/>
      <c r="J158" s="450"/>
    </row>
    <row r="159" spans="1:13" s="57" customFormat="1" ht="18" customHeight="1">
      <c r="A159" s="388"/>
      <c r="B159" s="389"/>
      <c r="C159" s="389"/>
      <c r="D159" s="390"/>
      <c r="E159" s="391"/>
      <c r="F159" s="392"/>
      <c r="G159" s="393"/>
      <c r="H159" s="393"/>
      <c r="I159" s="394"/>
      <c r="J159" s="450"/>
    </row>
    <row r="160" spans="1:13" ht="18" customHeight="1">
      <c r="A160" s="395" t="s">
        <v>373</v>
      </c>
      <c r="B160" s="396">
        <f>+B161</f>
        <v>120</v>
      </c>
      <c r="C160" s="397"/>
      <c r="D160" s="489"/>
      <c r="E160" s="368"/>
      <c r="F160" s="395" t="s">
        <v>338</v>
      </c>
      <c r="G160" s="396">
        <f>SUM(G161:G165)</f>
        <v>5077</v>
      </c>
      <c r="H160" s="397"/>
      <c r="I160" s="490"/>
      <c r="J160" s="274"/>
    </row>
    <row r="161" spans="1:15" ht="18" customHeight="1">
      <c r="A161" s="404" t="str">
        <f>+'PARTE DIC2021'!D140</f>
        <v>EPMSCPBO Puerto Boyacá</v>
      </c>
      <c r="B161" s="1127">
        <f>+'PARTE DIC2021'!E140</f>
        <v>120</v>
      </c>
      <c r="C161" s="360"/>
      <c r="D161" s="454">
        <v>3</v>
      </c>
      <c r="E161" s="368"/>
      <c r="F161" s="1125" t="str">
        <f>+'PARTE DIC2021'!D136</f>
        <v>EPMSCARG Armero Guayabal</v>
      </c>
      <c r="G161" s="1126">
        <f>+'PARTE DIC2021'!E136</f>
        <v>40</v>
      </c>
      <c r="H161" s="360"/>
      <c r="I161" s="454">
        <v>3</v>
      </c>
      <c r="J161" s="274"/>
    </row>
    <row r="162" spans="1:15" ht="18" customHeight="1">
      <c r="A162" s="430"/>
      <c r="B162" s="822"/>
      <c r="C162" s="360"/>
      <c r="D162" s="454"/>
      <c r="E162" s="368"/>
      <c r="F162" s="406" t="str">
        <f>+'PARTE DIC2021'!D142</f>
        <v>COIBA-ERE Ibagué</v>
      </c>
      <c r="G162" s="407">
        <f>+'PARTE DIC2021'!E142</f>
        <v>4642</v>
      </c>
      <c r="H162" s="360"/>
      <c r="I162" s="454">
        <v>1</v>
      </c>
      <c r="J162" s="274"/>
    </row>
    <row r="163" spans="1:15" ht="18" customHeight="1">
      <c r="A163" s="395" t="s">
        <v>374</v>
      </c>
      <c r="B163" s="396">
        <f>SUM(B164:B172)</f>
        <v>2741</v>
      </c>
      <c r="C163" s="364"/>
      <c r="D163" s="454"/>
      <c r="E163" s="368"/>
      <c r="F163" s="406" t="str">
        <f>+'PARTE DIC2021'!D137</f>
        <v>EPMSCFRN Fresno</v>
      </c>
      <c r="G163" s="407">
        <f>+'PARTE DIC2021'!E137</f>
        <v>88</v>
      </c>
      <c r="H163" s="360"/>
      <c r="I163" s="454">
        <v>3</v>
      </c>
      <c r="J163" s="274"/>
    </row>
    <row r="164" spans="1:15" ht="18" customHeight="1">
      <c r="A164" s="1125" t="str">
        <f>+'PARTE DIC2021'!D124</f>
        <v>EPMSCAGD Aguadas</v>
      </c>
      <c r="B164" s="1126">
        <f>+'PARTE DIC2021'!E124</f>
        <v>0</v>
      </c>
      <c r="C164" s="360"/>
      <c r="D164" s="454">
        <v>3</v>
      </c>
      <c r="E164" s="368"/>
      <c r="F164" s="406" t="str">
        <f>+'PARTE DIC2021'!D138</f>
        <v>EPMSCHON Honda</v>
      </c>
      <c r="G164" s="407">
        <f>+'PARTE DIC2021'!E138</f>
        <v>208</v>
      </c>
      <c r="H164" s="360"/>
      <c r="I164" s="454">
        <v>3</v>
      </c>
      <c r="J164" s="274"/>
    </row>
    <row r="165" spans="1:15" ht="18" customHeight="1">
      <c r="A165" s="406" t="str">
        <f>+'PARTE DIC2021'!D123</f>
        <v>EPMSCANS Anserma</v>
      </c>
      <c r="B165" s="407">
        <f>+'PARTE DIC2021'!E123</f>
        <v>128</v>
      </c>
      <c r="C165" s="360"/>
      <c r="D165" s="454">
        <v>3</v>
      </c>
      <c r="E165" s="368"/>
      <c r="F165" s="409" t="str">
        <f>+'PARTE DIC2021'!D139</f>
        <v>EPMSCLIB Líbano</v>
      </c>
      <c r="G165" s="410">
        <f>+'PARTE DIC2021'!E139</f>
        <v>99</v>
      </c>
      <c r="H165" s="459"/>
      <c r="I165" s="477">
        <v>3</v>
      </c>
      <c r="J165" s="274"/>
    </row>
    <row r="166" spans="1:15" ht="18" customHeight="1">
      <c r="A166" s="406" t="str">
        <f>+'PARTE DIC2021'!D141</f>
        <v>CPAMSLDO-ERE La Dorada</v>
      </c>
      <c r="B166" s="407">
        <f>+'PARTE DIC2021'!E141</f>
        <v>1524</v>
      </c>
      <c r="C166" s="360"/>
      <c r="D166" s="454">
        <v>2</v>
      </c>
      <c r="E166" s="368"/>
      <c r="F166" s="408"/>
      <c r="G166" s="318"/>
      <c r="H166" s="318"/>
      <c r="I166" s="429"/>
      <c r="J166" s="274"/>
    </row>
    <row r="167" spans="1:15" ht="18" customHeight="1">
      <c r="A167" s="406" t="str">
        <f>+'PARTE DIC2021'!D122</f>
        <v>EPMSCMAN Manizales</v>
      </c>
      <c r="B167" s="407">
        <f>+'PARTE DIC2021'!E122</f>
        <v>627</v>
      </c>
      <c r="C167" s="360"/>
      <c r="D167" s="454">
        <v>3</v>
      </c>
      <c r="E167" s="368"/>
      <c r="F167" s="491"/>
      <c r="G167" s="492"/>
      <c r="H167" s="492"/>
      <c r="I167" s="493"/>
      <c r="J167" s="274"/>
    </row>
    <row r="168" spans="1:15" ht="18" customHeight="1">
      <c r="A168" s="406" t="str">
        <f>+'PARTE DIC2021'!D129</f>
        <v>RMMAN Manizales</v>
      </c>
      <c r="B168" s="407">
        <f>+'PARTE DIC2021'!E129</f>
        <v>128</v>
      </c>
      <c r="C168" s="360"/>
      <c r="D168" s="454">
        <v>3</v>
      </c>
      <c r="E168" s="368"/>
      <c r="F168" s="426" t="s">
        <v>37</v>
      </c>
      <c r="G168" s="324" t="s">
        <v>14</v>
      </c>
      <c r="H168" s="324"/>
      <c r="I168" s="427"/>
      <c r="J168" s="274"/>
      <c r="M168" s="20" t="s">
        <v>37</v>
      </c>
    </row>
    <row r="169" spans="1:15" ht="18" customHeight="1">
      <c r="A169" s="406" t="str">
        <f>+'PARTE DIC2021'!D125</f>
        <v>EPMSCPAR Pácora</v>
      </c>
      <c r="B169" s="407">
        <f>+'PARTE DIC2021'!E125</f>
        <v>58</v>
      </c>
      <c r="C169" s="360"/>
      <c r="D169" s="454">
        <v>3</v>
      </c>
      <c r="E169" s="368"/>
      <c r="F169" s="408"/>
      <c r="G169" s="327"/>
      <c r="H169" s="327"/>
      <c r="I169" s="428"/>
      <c r="J169" s="274"/>
    </row>
    <row r="170" spans="1:15" ht="18" customHeight="1">
      <c r="A170" s="406" t="str">
        <f>+'PARTE DIC2021'!D126</f>
        <v>EPMSCPEN Pensilvania</v>
      </c>
      <c r="B170" s="407">
        <f>+'PARTE DIC2021'!E126</f>
        <v>56</v>
      </c>
      <c r="C170" s="360"/>
      <c r="D170" s="454">
        <v>3</v>
      </c>
      <c r="E170" s="368"/>
      <c r="F170" s="329" t="s">
        <v>349</v>
      </c>
      <c r="G170" s="287">
        <f>+B161+B164+B165+B167+B168+B169+B170+B171+B172+B175+B176+B177+B180+B181+B182+G161+G163+G164+G165</f>
        <v>4360</v>
      </c>
      <c r="H170" s="318"/>
      <c r="I170" s="429"/>
      <c r="J170" s="274"/>
      <c r="M170" s="20" t="s">
        <v>40</v>
      </c>
      <c r="N170" s="20">
        <f>35+19+14+12+18+19</f>
        <v>117</v>
      </c>
      <c r="O170" s="315">
        <f>+G35+G65+G88+B121+G170+G139</f>
        <v>42588</v>
      </c>
    </row>
    <row r="171" spans="1:15" ht="18" customHeight="1">
      <c r="A171" s="406" t="str">
        <f>+'PARTE DIC2021'!D127</f>
        <v>EPMSCRIS Riosucio</v>
      </c>
      <c r="B171" s="407">
        <f>+'PARTE DIC2021'!E127</f>
        <v>54</v>
      </c>
      <c r="C171" s="360"/>
      <c r="D171" s="454">
        <v>3</v>
      </c>
      <c r="E171" s="368"/>
      <c r="F171" s="329" t="s">
        <v>356</v>
      </c>
      <c r="G171" s="287">
        <f>+B166</f>
        <v>1524</v>
      </c>
      <c r="H171" s="318"/>
      <c r="I171" s="429"/>
      <c r="J171" s="274"/>
      <c r="M171" s="20" t="s">
        <v>39</v>
      </c>
      <c r="N171" s="20">
        <v>5</v>
      </c>
      <c r="O171" s="315">
        <f>+G36+G66+G89+B122+G171+G140</f>
        <v>8164</v>
      </c>
    </row>
    <row r="172" spans="1:15" ht="18" customHeight="1">
      <c r="A172" s="409" t="str">
        <f>+'PARTE DIC2021'!D128</f>
        <v>EPMSCSAL Salamina</v>
      </c>
      <c r="B172" s="410">
        <f>+'PARTE DIC2021'!E128</f>
        <v>166</v>
      </c>
      <c r="C172" s="360"/>
      <c r="D172" s="454">
        <v>3</v>
      </c>
      <c r="E172" s="368"/>
      <c r="F172" s="329" t="s">
        <v>385</v>
      </c>
      <c r="G172" s="287">
        <f>+G162</f>
        <v>4642</v>
      </c>
      <c r="H172" s="318"/>
      <c r="I172" s="429"/>
      <c r="J172" s="274"/>
      <c r="M172" s="20" t="s">
        <v>38</v>
      </c>
      <c r="N172" s="20">
        <v>10</v>
      </c>
      <c r="O172" s="315">
        <f>+G37+G67+G90+B123+G172+G141</f>
        <v>29677</v>
      </c>
    </row>
    <row r="173" spans="1:15" ht="18" customHeight="1">
      <c r="A173" s="430"/>
      <c r="B173" s="822"/>
      <c r="C173" s="360"/>
      <c r="D173" s="454"/>
      <c r="E173" s="368"/>
      <c r="F173" s="463"/>
      <c r="G173" s="464">
        <f>SUM(G170:G172)</f>
        <v>10526</v>
      </c>
      <c r="H173" s="465"/>
      <c r="I173" s="466"/>
      <c r="J173" s="274"/>
    </row>
    <row r="174" spans="1:15" ht="18" customHeight="1">
      <c r="A174" s="395" t="s">
        <v>375</v>
      </c>
      <c r="B174" s="396">
        <f>SUM(B175:B177)</f>
        <v>1456</v>
      </c>
      <c r="C174" s="364"/>
      <c r="D174" s="454"/>
      <c r="E174" s="368"/>
      <c r="F174" s="408"/>
      <c r="G174" s="318"/>
      <c r="H174" s="318"/>
      <c r="I174" s="429"/>
      <c r="J174" s="274"/>
      <c r="N174" s="20">
        <f>SUM(N170:N173)</f>
        <v>132</v>
      </c>
      <c r="O174" s="315">
        <f>SUM(O170:O173)</f>
        <v>80429</v>
      </c>
    </row>
    <row r="175" spans="1:15" ht="18" customHeight="1">
      <c r="A175" s="401" t="str">
        <f>+'PARTE DIC2021'!D131</f>
        <v>EPMSCARM Armenia</v>
      </c>
      <c r="B175" s="402">
        <f>+'PARTE DIC2021'!E131</f>
        <v>350</v>
      </c>
      <c r="C175" s="360"/>
      <c r="D175" s="454">
        <v>3</v>
      </c>
      <c r="E175" s="368"/>
      <c r="F175" s="494" t="s">
        <v>58</v>
      </c>
      <c r="G175" s="495" t="s">
        <v>57</v>
      </c>
      <c r="H175" s="1858" t="s">
        <v>14</v>
      </c>
      <c r="I175" s="1859"/>
      <c r="J175" s="274"/>
    </row>
    <row r="176" spans="1:15" ht="18" customHeight="1">
      <c r="A176" s="406" t="str">
        <f>+'PARTE DIC2021'!D132</f>
        <v>RMARM Armenia</v>
      </c>
      <c r="B176" s="407">
        <f>+'PARTE DIC2021'!E132</f>
        <v>156</v>
      </c>
      <c r="C176" s="360"/>
      <c r="D176" s="454">
        <v>3</v>
      </c>
      <c r="E176" s="368"/>
      <c r="F176" s="1843">
        <v>18</v>
      </c>
      <c r="G176" s="1838">
        <v>21</v>
      </c>
      <c r="H176" s="1840">
        <f>+G173</f>
        <v>10526</v>
      </c>
      <c r="I176" s="1846"/>
      <c r="J176" s="274"/>
    </row>
    <row r="177" spans="1:13" ht="18" customHeight="1">
      <c r="A177" s="409" t="str">
        <f>+'PARTE DIC2021'!D130</f>
        <v>EPMSCCAL Calarcá</v>
      </c>
      <c r="B177" s="410">
        <f>+'PARTE DIC2021'!E130</f>
        <v>950</v>
      </c>
      <c r="C177" s="360"/>
      <c r="D177" s="454">
        <v>3</v>
      </c>
      <c r="E177" s="368"/>
      <c r="F177" s="1844"/>
      <c r="G177" s="1845"/>
      <c r="H177" s="1845"/>
      <c r="I177" s="1847"/>
      <c r="J177" s="274"/>
    </row>
    <row r="178" spans="1:13" ht="18" customHeight="1">
      <c r="A178" s="430"/>
      <c r="B178" s="822"/>
      <c r="C178" s="360"/>
      <c r="D178" s="454"/>
      <c r="E178" s="368"/>
      <c r="F178" s="1122" t="s">
        <v>772</v>
      </c>
      <c r="G178" s="343"/>
      <c r="H178" s="343"/>
      <c r="I178" s="343"/>
      <c r="J178" s="274"/>
    </row>
    <row r="179" spans="1:13" ht="18" customHeight="1">
      <c r="A179" s="480" t="s">
        <v>376</v>
      </c>
      <c r="B179" s="496">
        <f>SUM(B180:B182)</f>
        <v>1132</v>
      </c>
      <c r="C179" s="364"/>
      <c r="D179" s="454"/>
      <c r="E179" s="368"/>
      <c r="F179" s="343"/>
      <c r="G179" s="343"/>
      <c r="H179" s="343"/>
      <c r="I179" s="343"/>
      <c r="J179" s="274"/>
    </row>
    <row r="180" spans="1:13" ht="18" customHeight="1">
      <c r="A180" s="401" t="str">
        <f>+'PARTE DIC2021'!D133</f>
        <v>EPMSCPEI-ERE Pereira</v>
      </c>
      <c r="B180" s="402">
        <f>+'PARTE DIC2021'!E133</f>
        <v>649</v>
      </c>
      <c r="C180" s="360"/>
      <c r="D180" s="454">
        <v>3</v>
      </c>
      <c r="E180" s="368"/>
      <c r="F180" s="343"/>
      <c r="G180" s="343"/>
      <c r="H180" s="343"/>
      <c r="I180" s="343"/>
      <c r="J180" s="274"/>
    </row>
    <row r="181" spans="1:13" ht="18" customHeight="1">
      <c r="A181" s="406" t="str">
        <f>+'PARTE DIC2021'!D135</f>
        <v>RMPEI Pereira</v>
      </c>
      <c r="B181" s="407">
        <f>+'PARTE DIC2021'!E135</f>
        <v>305</v>
      </c>
      <c r="C181" s="360"/>
      <c r="D181" s="454">
        <v>3</v>
      </c>
      <c r="E181" s="368"/>
      <c r="F181" s="343"/>
      <c r="G181" s="343"/>
      <c r="H181" s="343"/>
      <c r="I181" s="343"/>
      <c r="J181" s="274"/>
      <c r="M181" s="315">
        <f>+F176+F145+F119+F94+A68+F41</f>
        <v>122</v>
      </c>
    </row>
    <row r="182" spans="1:13" ht="18" customHeight="1">
      <c r="A182" s="497" t="str">
        <f>+'PARTE DIC2021'!D134</f>
        <v>EPMSCSRC Santa Rosa de Cabal</v>
      </c>
      <c r="B182" s="410">
        <f>+'PARTE DIC2021'!E134</f>
        <v>178</v>
      </c>
      <c r="C182" s="498"/>
      <c r="D182" s="488">
        <v>3</v>
      </c>
      <c r="E182" s="368"/>
      <c r="F182" s="343"/>
      <c r="G182" s="343"/>
      <c r="H182" s="343"/>
      <c r="I182" s="343"/>
      <c r="J182" s="274"/>
    </row>
    <row r="183" spans="1:13" ht="5.25" customHeight="1">
      <c r="A183" s="20"/>
      <c r="B183" s="20"/>
      <c r="C183" s="20"/>
      <c r="D183" s="20"/>
      <c r="E183" s="444"/>
    </row>
    <row r="184" spans="1:13" ht="15" customHeight="1">
      <c r="A184" s="20"/>
      <c r="B184" s="20"/>
      <c r="C184" s="20"/>
      <c r="D184" s="20"/>
      <c r="E184" s="444"/>
    </row>
    <row r="185" spans="1:13" ht="15" customHeight="1"/>
    <row r="186" spans="1:13" ht="15" customHeight="1"/>
    <row r="187" spans="1:13" ht="15" customHeight="1"/>
    <row r="188" spans="1:13" ht="15" customHeight="1"/>
    <row r="189" spans="1:13" ht="15" customHeight="1"/>
    <row r="190" spans="1:13" ht="15" customHeight="1"/>
    <row r="191" spans="1:13" ht="15" customHeight="1"/>
    <row r="192" spans="1:13" ht="19.5" customHeight="1"/>
    <row r="193" spans="1:5" ht="19.5" customHeight="1"/>
    <row r="194" spans="1:5" ht="19.5" customHeight="1"/>
    <row r="195" spans="1:5" ht="15" customHeight="1"/>
    <row r="196" spans="1:5" ht="15" customHeight="1"/>
    <row r="197" spans="1:5" ht="15" customHeight="1"/>
    <row r="198" spans="1:5" ht="15" customHeight="1"/>
    <row r="199" spans="1:5" ht="15" customHeight="1"/>
    <row r="200" spans="1:5" ht="15" customHeight="1"/>
    <row r="201" spans="1:5" ht="15" customHeight="1"/>
    <row r="202" spans="1:5" ht="15" customHeight="1"/>
    <row r="203" spans="1:5" ht="15" customHeight="1"/>
    <row r="206" spans="1:5" ht="13.5" customHeight="1">
      <c r="A206" s="20"/>
      <c r="B206" s="20"/>
      <c r="C206" s="20"/>
      <c r="D206" s="20"/>
      <c r="E206" s="20"/>
    </row>
    <row r="218" ht="13.5" customHeight="1"/>
  </sheetData>
  <mergeCells count="59">
    <mergeCell ref="H175:I175"/>
    <mergeCell ref="F176:F177"/>
    <mergeCell ref="G176:G177"/>
    <mergeCell ref="H176:I177"/>
    <mergeCell ref="H144:I144"/>
    <mergeCell ref="F145:F146"/>
    <mergeCell ref="G145:G146"/>
    <mergeCell ref="H145:I146"/>
    <mergeCell ref="A155:I155"/>
    <mergeCell ref="B157:B158"/>
    <mergeCell ref="C157:D158"/>
    <mergeCell ref="G157:G158"/>
    <mergeCell ref="H157:I158"/>
    <mergeCell ref="C132:D132"/>
    <mergeCell ref="A112:B112"/>
    <mergeCell ref="A117:B117"/>
    <mergeCell ref="B118:D118"/>
    <mergeCell ref="H118:I118"/>
    <mergeCell ref="F119:F120"/>
    <mergeCell ref="G119:G120"/>
    <mergeCell ref="H119:I120"/>
    <mergeCell ref="B120:D120"/>
    <mergeCell ref="A127:I127"/>
    <mergeCell ref="B129:B130"/>
    <mergeCell ref="C129:D130"/>
    <mergeCell ref="G129:G130"/>
    <mergeCell ref="H129:I130"/>
    <mergeCell ref="B104:B105"/>
    <mergeCell ref="C104:D105"/>
    <mergeCell ref="G104:G105"/>
    <mergeCell ref="H104:I105"/>
    <mergeCell ref="C67:D67"/>
    <mergeCell ref="H93:I93"/>
    <mergeCell ref="F94:F95"/>
    <mergeCell ref="G94:G95"/>
    <mergeCell ref="H94:I95"/>
    <mergeCell ref="A102:I102"/>
    <mergeCell ref="A68:A69"/>
    <mergeCell ref="B68:B69"/>
    <mergeCell ref="C68:D69"/>
    <mergeCell ref="A72:I72"/>
    <mergeCell ref="B74:B75"/>
    <mergeCell ref="C74:D75"/>
    <mergeCell ref="G74:G75"/>
    <mergeCell ref="H74:I75"/>
    <mergeCell ref="F41:F42"/>
    <mergeCell ref="G41:G42"/>
    <mergeCell ref="H41:I42"/>
    <mergeCell ref="A46:I46"/>
    <mergeCell ref="B48:B49"/>
    <mergeCell ref="C48:D49"/>
    <mergeCell ref="G48:G49"/>
    <mergeCell ref="H48:I49"/>
    <mergeCell ref="H40:I40"/>
    <mergeCell ref="A2:I2"/>
    <mergeCell ref="B5:B6"/>
    <mergeCell ref="C5:D6"/>
    <mergeCell ref="G5:G6"/>
    <mergeCell ref="H5:I6"/>
  </mergeCells>
  <conditionalFormatting sqref="H15:H18">
    <cfRule type="iconSet" priority="13">
      <iconSet>
        <cfvo type="percent" val="0"/>
        <cfvo type="percent" val="33"/>
        <cfvo type="percent" val="67"/>
      </iconSet>
    </cfRule>
    <cfRule type="cellIs" priority="14" operator="between">
      <formula>1</formula>
      <formula>3</formula>
    </cfRule>
  </conditionalFormatting>
  <conditionalFormatting sqref="H21:H25">
    <cfRule type="iconSet" priority="11">
      <iconSet>
        <cfvo type="percent" val="0"/>
        <cfvo type="percent" val="33"/>
        <cfvo type="percent" val="67"/>
      </iconSet>
    </cfRule>
    <cfRule type="cellIs" priority="12" operator="between">
      <formula>1</formula>
      <formula>3</formula>
    </cfRule>
  </conditionalFormatting>
  <conditionalFormatting sqref="I77:I82 D97:D99 D77:D95">
    <cfRule type="iconSet" priority="9">
      <iconSet>
        <cfvo type="percent" val="0"/>
        <cfvo type="percent" val="33"/>
        <cfvo type="percent" val="67"/>
      </iconSet>
    </cfRule>
  </conditionalFormatting>
  <conditionalFormatting sqref="I107:I116 D107:D117">
    <cfRule type="iconSet" priority="8">
      <iconSet>
        <cfvo type="percent" val="0"/>
        <cfvo type="percent" val="33"/>
        <cfvo type="percent" val="67"/>
      </iconSet>
    </cfRule>
  </conditionalFormatting>
  <conditionalFormatting sqref="C133">
    <cfRule type="iconSet" priority="7">
      <iconSet>
        <cfvo type="percent" val="0"/>
        <cfvo type="percent" val="33"/>
        <cfvo type="percent" val="67"/>
      </iconSet>
    </cfRule>
  </conditionalFormatting>
  <conditionalFormatting sqref="I133:I134">
    <cfRule type="iconSet" priority="6">
      <iconSet>
        <cfvo type="percent" val="0"/>
        <cfvo type="percent" val="33"/>
        <cfvo type="percent" val="67"/>
      </iconSet>
    </cfRule>
  </conditionalFormatting>
  <conditionalFormatting sqref="I160:I165 D161:D182">
    <cfRule type="iconSet" priority="5">
      <iconSet>
        <cfvo type="percent" val="0"/>
        <cfvo type="percent" val="33"/>
        <cfvo type="percent" val="67"/>
      </iconSet>
    </cfRule>
  </conditionalFormatting>
  <conditionalFormatting sqref="D96">
    <cfRule type="iconSet" priority="2">
      <iconSet>
        <cfvo type="percent" val="0"/>
        <cfvo type="percent" val="33"/>
        <cfvo type="percent" val="67"/>
      </iconSet>
    </cfRule>
  </conditionalFormatting>
  <conditionalFormatting sqref="D70 D60:D66 D52:D58 I51:I61">
    <cfRule type="iconSet" priority="28">
      <iconSet>
        <cfvo type="percent" val="0"/>
        <cfvo type="percent" val="33"/>
        <cfvo type="percent" val="67"/>
      </iconSet>
    </cfRule>
  </conditionalFormatting>
  <conditionalFormatting sqref="H8:H12">
    <cfRule type="iconSet" priority="34">
      <iconSet>
        <cfvo type="percent" val="0"/>
        <cfvo type="percent" val="33"/>
        <cfvo type="percent" val="67"/>
      </iconSet>
    </cfRule>
    <cfRule type="cellIs" priority="35" operator="between">
      <formula>1</formula>
      <formula>3</formula>
    </cfRule>
  </conditionalFormatting>
  <conditionalFormatting sqref="D149:D151 D133:D146">
    <cfRule type="iconSet" priority="36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BA4FB4DE-5FAE-4050-B465-C451294515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D40:D42 E37:E40 D9:E26 E27:E35 D32:D38 D28:D29</xm:sqref>
        </x14:conditionalFormatting>
        <x14:conditionalFormatting xmlns:xm="http://schemas.microsoft.com/office/excel/2006/main">
          <x14:cfRule type="iconSet" priority="4" id="{18A25917-7C1D-4850-BA4D-102E8859FF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D39</xm:sqref>
        </x14:conditionalFormatting>
        <x14:conditionalFormatting xmlns:xm="http://schemas.microsoft.com/office/excel/2006/main">
          <x14:cfRule type="iconSet" priority="18" id="{91490380-39D8-4997-A766-52E1EBBD1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D27 D31</xm:sqref>
        </x14:conditionalFormatting>
        <x14:conditionalFormatting xmlns:xm="http://schemas.microsoft.com/office/excel/2006/main">
          <x14:cfRule type="iconSet" priority="3" id="{26B9283C-27B9-49ED-B62B-14BED1DE88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D30</xm:sqref>
        </x14:conditionalFormatting>
        <x14:conditionalFormatting xmlns:xm="http://schemas.microsoft.com/office/excel/2006/main">
          <x14:cfRule type="iconSet" priority="1" id="{96893A59-665A-4630-9802-232D351C63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D43</xm:sqref>
        </x14:conditionalFormatting>
        <x14:conditionalFormatting xmlns:xm="http://schemas.microsoft.com/office/excel/2006/main">
          <x14:cfRule type="iconSet" priority="31" id="{5E682121-C73D-4F75-AC6F-45A772929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afficLights1" iconId="0"/>
              <x14:cfIcon iconSet="3TrafficLights1" iconId="1"/>
              <x14:cfIcon iconSet="3TrafficLights1" iconId="2"/>
            </x14:iconSet>
          </x14:cfRule>
          <xm:sqref>I9:I29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2</vt:i4>
      </vt:variant>
    </vt:vector>
  </HeadingPairs>
  <TitlesOfParts>
    <vt:vector size="33" baseType="lpstr">
      <vt:lpstr>ERON 2021</vt:lpstr>
      <vt:lpstr>DINAMICA ERON</vt:lpstr>
      <vt:lpstr>PARTE DIC2021</vt:lpstr>
      <vt:lpstr>TABLA POBLACION</vt:lpstr>
      <vt:lpstr>TABLA TASAS</vt:lpstr>
      <vt:lpstr>TABLA CLASIFICACION</vt:lpstr>
      <vt:lpstr>TABLA ERON GENERACION</vt:lpstr>
      <vt:lpstr>TABLA INFRAESTRUCTURA REGION</vt:lpstr>
      <vt:lpstr>TABLA UBICACION ERON</vt:lpstr>
      <vt:lpstr>TABLA CUPOS</vt:lpstr>
      <vt:lpstr>Hoja3</vt:lpstr>
      <vt:lpstr>TABLA CAPACIDAD</vt:lpstr>
      <vt:lpstr>TABLA HACINAMIENTO</vt:lpstr>
      <vt:lpstr>TABLA SEXO</vt:lpstr>
      <vt:lpstr>TABLA JURIDICA</vt:lpstr>
      <vt:lpstr>TABLA EDAD </vt:lpstr>
      <vt:lpstr>TABLA  ESCOLARIDAD</vt:lpstr>
      <vt:lpstr>SERVIDORES PUBLICOS</vt:lpstr>
      <vt:lpstr>ENFOQUE DIFERENCIAL</vt:lpstr>
      <vt:lpstr>TABLA DELITOS ERON</vt:lpstr>
      <vt:lpstr>TABLAREGIONALES </vt:lpstr>
      <vt:lpstr>extranjeros pais</vt:lpstr>
      <vt:lpstr>TABLAS TRATAMIENTO</vt:lpstr>
      <vt:lpstr>TABLA DOMICILIARIA</vt:lpstr>
      <vt:lpstr>TABLA VIGIL ELECTRONICA</vt:lpstr>
      <vt:lpstr>TABLA REINCIDENCIA</vt:lpstr>
      <vt:lpstr>TABLA  SUBROGADOS</vt:lpstr>
      <vt:lpstr>PRESUPUESTO</vt:lpstr>
      <vt:lpstr>DECRETO 546</vt:lpstr>
      <vt:lpstr>DD.HH</vt:lpstr>
      <vt:lpstr>DICUV</vt:lpstr>
      <vt:lpstr>'TABLA CUPOS'!_Toc15468336</vt:lpstr>
      <vt:lpstr>'TABLA HACINAMIENTO'!_Toc413680536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Saavedra Ardila</dc:creator>
  <cp:lastModifiedBy>ERIKA JANETH PEREZ RODRIGUEZ</cp:lastModifiedBy>
  <cp:lastPrinted>2022-02-23T19:50:53Z</cp:lastPrinted>
  <dcterms:created xsi:type="dcterms:W3CDTF">2013-07-10T15:30:30Z</dcterms:created>
  <dcterms:modified xsi:type="dcterms:W3CDTF">2022-08-02T17:44:27Z</dcterms:modified>
</cp:coreProperties>
</file>